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市生_税務_市民税\国民健康保険税\23その他\広報・HP\R5\"/>
    </mc:Choice>
  </mc:AlternateContent>
  <xr:revisionPtr revIDLastSave="0" documentId="13_ncr:1_{5FD53DDA-FCEC-4B4D-8DEF-600E517813B1}" xr6:coauthVersionLast="36" xr6:coauthVersionMax="36" xr10:uidLastSave="{00000000-0000-0000-0000-000000000000}"/>
  <workbookProtection workbookAlgorithmName="SHA-512" workbookHashValue="CDgzoE2UwMwx2Lvw/+1qiRzmBts4e7xrXjKEVcWulkeklJgjFMotJURHIswjHcOqttNiyZP1Ap0OcbBYqAyK5w==" workbookSaltValue="9XjDQHHdaPb6k/7YuNU3Xw==" workbookSpinCount="100000" lockStructure="1"/>
  <bookViews>
    <workbookView xWindow="2820" yWindow="32760" windowWidth="15360" windowHeight="9105" xr2:uid="{00000000-000D-0000-FFFF-FFFF00000000}"/>
  </bookViews>
  <sheets>
    <sheet name="計算シート" sheetId="1" r:id="rId1"/>
    <sheet name="新税率" sheetId="2" state="hidden" r:id="rId2"/>
    <sheet name="年金所得計算表" sheetId="3" state="hidden" r:id="rId3"/>
  </sheets>
  <definedNames>
    <definedName name="_xlnm.Print_Area" localSheetId="0">計算シート!$A$1:$AB$68</definedName>
  </definedNames>
  <calcPr calcId="191029"/>
</workbook>
</file>

<file path=xl/calcChain.xml><?xml version="1.0" encoding="utf-8"?>
<calcChain xmlns="http://schemas.openxmlformats.org/spreadsheetml/2006/main">
  <c r="AN42" i="1" l="1"/>
  <c r="AI42" i="1"/>
  <c r="AM57" i="1" l="1"/>
  <c r="AN28" i="1" l="1"/>
  <c r="AN30" i="1"/>
  <c r="AN32" i="1"/>
  <c r="AN34" i="1"/>
  <c r="AN36" i="1"/>
  <c r="AN38" i="1"/>
  <c r="AN26" i="1"/>
  <c r="AG27" i="1"/>
  <c r="AE40" i="1" l="1"/>
  <c r="AE28" i="1" l="1"/>
  <c r="AE30" i="1"/>
  <c r="AE32" i="1"/>
  <c r="AE34" i="1"/>
  <c r="AE36" i="1"/>
  <c r="AE38" i="1"/>
  <c r="AE26" i="1"/>
  <c r="AG47" i="1" l="1"/>
  <c r="AI38" i="1" l="1"/>
  <c r="Q42" i="1" l="1"/>
  <c r="AG43" i="1"/>
  <c r="AG39" i="1"/>
  <c r="AG37" i="1"/>
  <c r="AG35" i="1"/>
  <c r="AG33" i="1"/>
  <c r="AG31" i="1"/>
  <c r="AG29" i="1"/>
  <c r="AG26" i="1"/>
  <c r="AI36" i="1"/>
  <c r="AI34" i="1"/>
  <c r="AI32" i="1"/>
  <c r="AI30" i="1"/>
  <c r="AI28" i="1"/>
  <c r="AI26" i="1"/>
  <c r="AR26" i="1"/>
  <c r="AE42" i="1"/>
  <c r="AN47" i="1" s="1"/>
  <c r="B87" i="3"/>
  <c r="B71" i="3"/>
  <c r="B55" i="3"/>
  <c r="B39" i="3"/>
  <c r="B23" i="3"/>
  <c r="B119" i="3"/>
  <c r="B7" i="3"/>
  <c r="B103" i="3"/>
  <c r="C116" i="3"/>
  <c r="I124" i="3" s="1"/>
  <c r="B116" i="3"/>
  <c r="AG42" i="1"/>
  <c r="AH42" i="1" s="1"/>
  <c r="AG38" i="1"/>
  <c r="AG36" i="1"/>
  <c r="AH36" i="1" s="1"/>
  <c r="AG34" i="1"/>
  <c r="AG32" i="1"/>
  <c r="AG30" i="1"/>
  <c r="AG28" i="1"/>
  <c r="C100" i="3"/>
  <c r="K106" i="3" s="1"/>
  <c r="C84" i="3"/>
  <c r="I90" i="3" s="1"/>
  <c r="C68" i="3"/>
  <c r="K71" i="3" s="1"/>
  <c r="C52" i="3"/>
  <c r="K55" i="3" s="1"/>
  <c r="C36" i="3"/>
  <c r="K45" i="3" s="1"/>
  <c r="C20" i="3"/>
  <c r="C4" i="3"/>
  <c r="B100" i="3"/>
  <c r="B84" i="3"/>
  <c r="B68" i="3"/>
  <c r="B52" i="3"/>
  <c r="B36" i="3"/>
  <c r="B20" i="3"/>
  <c r="B4" i="3"/>
  <c r="AV26" i="1"/>
  <c r="AW26" i="1"/>
  <c r="AR28" i="1"/>
  <c r="AV28" i="1"/>
  <c r="AW28" i="1"/>
  <c r="AR30" i="1"/>
  <c r="AV30" i="1"/>
  <c r="AW30" i="1"/>
  <c r="AR32" i="1"/>
  <c r="AV32" i="1"/>
  <c r="AW32" i="1"/>
  <c r="AR34" i="1"/>
  <c r="AV34" i="1"/>
  <c r="AW34" i="1"/>
  <c r="AR36" i="1"/>
  <c r="AV36" i="1"/>
  <c r="AW36" i="1"/>
  <c r="AR38" i="1"/>
  <c r="AV38" i="1"/>
  <c r="AW38" i="1"/>
  <c r="AU36" i="1"/>
  <c r="AU34" i="1"/>
  <c r="AD50" i="1" l="1"/>
  <c r="AD51" i="1"/>
  <c r="AD49" i="1"/>
  <c r="O50" i="1"/>
  <c r="O51" i="1" s="1"/>
  <c r="AO51" i="1" s="1"/>
  <c r="J50" i="1"/>
  <c r="AH34" i="1"/>
  <c r="D68" i="3" s="1"/>
  <c r="D71" i="3" s="1"/>
  <c r="AH30" i="1"/>
  <c r="D36" i="3" s="1"/>
  <c r="D39" i="3" s="1"/>
  <c r="I88" i="3"/>
  <c r="I75" i="3"/>
  <c r="AH28" i="1"/>
  <c r="D20" i="3" s="1"/>
  <c r="D23" i="3" s="1"/>
  <c r="AH32" i="1"/>
  <c r="D52" i="3" s="1"/>
  <c r="D55" i="3" s="1"/>
  <c r="D84" i="3"/>
  <c r="D87" i="3" s="1"/>
  <c r="I87" i="3"/>
  <c r="AH26" i="1"/>
  <c r="D4" i="3" s="1"/>
  <c r="D7" i="3" s="1"/>
  <c r="K73" i="3"/>
  <c r="K72" i="3"/>
  <c r="I76" i="3"/>
  <c r="K75" i="3"/>
  <c r="C71" i="3"/>
  <c r="K76" i="3"/>
  <c r="K74" i="3"/>
  <c r="I70" i="3"/>
  <c r="K77" i="3"/>
  <c r="I77" i="3"/>
  <c r="I72" i="3"/>
  <c r="I78" i="3"/>
  <c r="I74" i="3"/>
  <c r="K58" i="3"/>
  <c r="K56" i="3"/>
  <c r="C55" i="3"/>
  <c r="I56" i="3"/>
  <c r="K62" i="3"/>
  <c r="I54" i="3"/>
  <c r="I46" i="3"/>
  <c r="I41" i="3"/>
  <c r="K22" i="3"/>
  <c r="I105" i="3"/>
  <c r="C103" i="3"/>
  <c r="I104" i="3"/>
  <c r="AH38" i="1"/>
  <c r="D100" i="3" s="1"/>
  <c r="D103" i="3" s="1"/>
  <c r="I106" i="3"/>
  <c r="K104" i="3"/>
  <c r="K102" i="3"/>
  <c r="K105" i="3"/>
  <c r="I9" i="3"/>
  <c r="I6" i="3"/>
  <c r="D116" i="3"/>
  <c r="D119" i="3" s="1"/>
  <c r="K121" i="3"/>
  <c r="K8" i="3"/>
  <c r="K9" i="3"/>
  <c r="K42" i="3"/>
  <c r="K46" i="3"/>
  <c r="I39" i="3"/>
  <c r="I42" i="3"/>
  <c r="I40" i="3"/>
  <c r="I55" i="3"/>
  <c r="I57" i="3"/>
  <c r="K39" i="3"/>
  <c r="I45" i="3"/>
  <c r="K44" i="3"/>
  <c r="I126" i="3"/>
  <c r="K59" i="3"/>
  <c r="I61" i="3"/>
  <c r="K120" i="3"/>
  <c r="C87" i="3"/>
  <c r="I60" i="3"/>
  <c r="K54" i="3"/>
  <c r="K60" i="3"/>
  <c r="I122" i="3"/>
  <c r="K94" i="3"/>
  <c r="I59" i="3"/>
  <c r="I58" i="3"/>
  <c r="I62" i="3"/>
  <c r="I94" i="3"/>
  <c r="I120" i="3"/>
  <c r="K93" i="3"/>
  <c r="K61" i="3"/>
  <c r="I125" i="3"/>
  <c r="K90" i="3"/>
  <c r="K108" i="3"/>
  <c r="K89" i="3"/>
  <c r="I44" i="3"/>
  <c r="I93" i="3"/>
  <c r="I107" i="3"/>
  <c r="I38" i="3"/>
  <c r="K107" i="3"/>
  <c r="I110" i="3"/>
  <c r="I71" i="3"/>
  <c r="K91" i="3"/>
  <c r="I73" i="3"/>
  <c r="I123" i="3"/>
  <c r="K119" i="3"/>
  <c r="I89" i="3"/>
  <c r="K88" i="3"/>
  <c r="I91" i="3"/>
  <c r="K40" i="3"/>
  <c r="K70" i="3"/>
  <c r="I86" i="3"/>
  <c r="K78" i="3"/>
  <c r="K57" i="3"/>
  <c r="I119" i="3"/>
  <c r="I118" i="3"/>
  <c r="K86" i="3"/>
  <c r="K126" i="3"/>
  <c r="K92" i="3"/>
  <c r="I43" i="3"/>
  <c r="C39" i="3"/>
  <c r="K103" i="3"/>
  <c r="K41" i="3"/>
  <c r="I108" i="3"/>
  <c r="I121" i="3"/>
  <c r="I103" i="3"/>
  <c r="K38" i="3"/>
  <c r="C119" i="3"/>
  <c r="K125" i="3"/>
  <c r="K118" i="3"/>
  <c r="I92" i="3"/>
  <c r="K109" i="3"/>
  <c r="K87" i="3"/>
  <c r="I109" i="3"/>
  <c r="I102" i="3"/>
  <c r="K110" i="3"/>
  <c r="K124" i="3"/>
  <c r="K123" i="3"/>
  <c r="K43" i="3"/>
  <c r="K122" i="3"/>
  <c r="I29" i="3"/>
  <c r="I23" i="3"/>
  <c r="K25" i="3"/>
  <c r="I25" i="3"/>
  <c r="K30" i="3"/>
  <c r="C23" i="3"/>
  <c r="I28" i="3"/>
  <c r="K24" i="3"/>
  <c r="K26" i="3"/>
  <c r="K23" i="3"/>
  <c r="I24" i="3"/>
  <c r="I22" i="3"/>
  <c r="I27" i="3"/>
  <c r="I26" i="3"/>
  <c r="K27" i="3"/>
  <c r="K29" i="3"/>
  <c r="I30" i="3"/>
  <c r="K28" i="3"/>
  <c r="AW40" i="1"/>
  <c r="Q43" i="1" s="1"/>
  <c r="T50" i="1" s="1"/>
  <c r="AV40" i="1"/>
  <c r="I11" i="3"/>
  <c r="K12" i="3"/>
  <c r="I7" i="3"/>
  <c r="K13" i="3"/>
  <c r="C7" i="3"/>
  <c r="I14" i="3"/>
  <c r="K14" i="3"/>
  <c r="I12" i="3"/>
  <c r="I8" i="3"/>
  <c r="K7" i="3"/>
  <c r="K6" i="3"/>
  <c r="I13" i="3"/>
  <c r="K10" i="3"/>
  <c r="K11" i="3"/>
  <c r="I10" i="3"/>
  <c r="J51" i="1" l="1"/>
  <c r="AN51" i="1" s="1"/>
  <c r="F39" i="3"/>
  <c r="D42" i="3" s="1"/>
  <c r="E42" i="3" s="1"/>
  <c r="AL30" i="1" s="1"/>
  <c r="F87" i="3"/>
  <c r="D90" i="3" s="1"/>
  <c r="E90" i="3" s="1"/>
  <c r="AL36" i="1" s="1"/>
  <c r="F55" i="3"/>
  <c r="D58" i="3" s="1"/>
  <c r="E58" i="3" s="1"/>
  <c r="AL32" i="1" s="1"/>
  <c r="AJ32" i="1" s="1"/>
  <c r="AK32" i="1" s="1"/>
  <c r="F71" i="3"/>
  <c r="D74" i="3" s="1"/>
  <c r="E74" i="3" s="1"/>
  <c r="AL34" i="1" s="1"/>
  <c r="AM34" i="1" s="1"/>
  <c r="F103" i="3"/>
  <c r="D106" i="3" s="1"/>
  <c r="E106" i="3" s="1"/>
  <c r="AL38" i="1" s="1"/>
  <c r="F119" i="3"/>
  <c r="D122" i="3" s="1"/>
  <c r="T51" i="1"/>
  <c r="AP53" i="1" s="1"/>
  <c r="F23" i="3"/>
  <c r="D26" i="3" s="1"/>
  <c r="AO53" i="1"/>
  <c r="AO52" i="1"/>
  <c r="F7" i="3"/>
  <c r="D10" i="3" s="1"/>
  <c r="AN53" i="1" l="1"/>
  <c r="AN52" i="1"/>
  <c r="AM36" i="1"/>
  <c r="AJ36" i="1"/>
  <c r="AK36" i="1" s="1"/>
  <c r="AJ30" i="1"/>
  <c r="AK30" i="1" s="1"/>
  <c r="AM30" i="1"/>
  <c r="AJ34" i="1"/>
  <c r="AK34" i="1" s="1"/>
  <c r="AO34" i="1" s="1"/>
  <c r="AM32" i="1"/>
  <c r="AO32" i="1" s="1"/>
  <c r="E26" i="3"/>
  <c r="AL28" i="1" s="1"/>
  <c r="AM38" i="1"/>
  <c r="AJ38" i="1"/>
  <c r="AK38" i="1" s="1"/>
  <c r="E122" i="3"/>
  <c r="AL42" i="1" s="1"/>
  <c r="E10" i="3"/>
  <c r="AL26" i="1" s="1"/>
  <c r="AP52" i="1"/>
  <c r="AP51" i="1"/>
  <c r="AS32" i="1"/>
  <c r="AP32" i="1" s="1"/>
  <c r="AJ42" i="1" l="1"/>
  <c r="AK42" i="1" s="1"/>
  <c r="AM42" i="1"/>
  <c r="AO38" i="1"/>
  <c r="AO30" i="1"/>
  <c r="AS36" i="1"/>
  <c r="AP36" i="1" s="1"/>
  <c r="AO36" i="1"/>
  <c r="AS30" i="1"/>
  <c r="AP30" i="1" s="1"/>
  <c r="AS34" i="1"/>
  <c r="AP34" i="1" s="1"/>
  <c r="AQ32" i="1"/>
  <c r="AU32" i="1" s="1"/>
  <c r="AJ28" i="1"/>
  <c r="AK28" i="1" s="1"/>
  <c r="AM28" i="1"/>
  <c r="AS38" i="1"/>
  <c r="AP38" i="1" s="1"/>
  <c r="AJ26" i="1"/>
  <c r="AK26" i="1" s="1"/>
  <c r="AS26" i="1" s="1"/>
  <c r="AM26" i="1"/>
  <c r="AQ36" i="1" l="1"/>
  <c r="AO42" i="1"/>
  <c r="AO26" i="1"/>
  <c r="AO28" i="1"/>
  <c r="AS28" i="1"/>
  <c r="AS40" i="1" s="1"/>
  <c r="AP40" i="1" s="1"/>
  <c r="AP26" i="1"/>
  <c r="AQ26" i="1" s="1"/>
  <c r="AQ30" i="1"/>
  <c r="AU30" i="1" s="1"/>
  <c r="AQ34" i="1"/>
  <c r="AQ38" i="1"/>
  <c r="AU38" i="1" s="1"/>
  <c r="AO40" i="1" l="1"/>
  <c r="AO44" i="1" s="1"/>
  <c r="AM54" i="1" s="1"/>
  <c r="AU26" i="1"/>
  <c r="AP28" i="1"/>
  <c r="AQ28" i="1" s="1"/>
  <c r="AU28" i="1" s="1"/>
  <c r="AN54" i="1" l="1"/>
  <c r="AO57" i="1"/>
  <c r="AQ40" i="1"/>
  <c r="O44" i="1" s="1"/>
  <c r="J49" i="1" s="1"/>
  <c r="AU40" i="1"/>
  <c r="T49" i="1" s="1"/>
  <c r="AD48" i="1"/>
  <c r="AN57" i="1"/>
  <c r="O49" i="1" l="1"/>
  <c r="AP54" i="1"/>
  <c r="T52" i="1" s="1"/>
  <c r="AH52" i="1" s="1"/>
  <c r="AH55" i="1" s="1"/>
  <c r="T53" i="1" s="1"/>
  <c r="AO54" i="1"/>
  <c r="O52" i="1" l="1"/>
  <c r="AG52" i="1" s="1"/>
  <c r="AG55" i="1" s="1"/>
  <c r="O53" i="1" s="1"/>
  <c r="J52" i="1"/>
  <c r="AF52" i="1" s="1"/>
  <c r="AF55" i="1" s="1"/>
  <c r="J53" i="1" s="1"/>
  <c r="M58" i="1" l="1"/>
  <c r="N62" i="1" s="1"/>
  <c r="N61" i="1" s="1"/>
  <c r="N63" i="1" l="1"/>
  <c r="Y52" i="1"/>
  <c r="N64" i="1"/>
  <c r="M59" i="1"/>
  <c r="N66" i="1"/>
  <c r="N67" i="1"/>
  <c r="N68" i="1"/>
  <c r="N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D2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給与850万以上
本人特障or23歳未満扶養有or特障の同一生計配偶者または扶養親族有</t>
        </r>
      </text>
    </comment>
  </commentList>
</comments>
</file>

<file path=xl/sharedStrings.xml><?xml version="1.0" encoding="utf-8"?>
<sst xmlns="http://schemas.openxmlformats.org/spreadsheetml/2006/main" count="295" uniqueCount="137">
  <si>
    <t>円</t>
    <rPh sb="0" eb="1">
      <t>エン</t>
    </rPh>
    <phoneticPr fontId="2"/>
  </si>
  <si>
    <t>均等割</t>
    <rPh sb="0" eb="2">
      <t>キントウ</t>
    </rPh>
    <rPh sb="2" eb="3">
      <t>ワリ</t>
    </rPh>
    <phoneticPr fontId="2"/>
  </si>
  <si>
    <t>平等割</t>
    <rPh sb="0" eb="2">
      <t>ビョウドウ</t>
    </rPh>
    <rPh sb="2" eb="3">
      <t>ワリ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</si>
  <si>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</si>
  <si>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</si>
  <si>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世帯員１</t>
    <rPh sb="0" eb="3">
      <t>セタイイン</t>
    </rPh>
    <phoneticPr fontId="2"/>
  </si>
  <si>
    <t>世帯員２</t>
    <rPh sb="0" eb="3">
      <t>セタイイン</t>
    </rPh>
    <phoneticPr fontId="2"/>
  </si>
  <si>
    <t>世帯員３</t>
    <rPh sb="0" eb="3">
      <t>セタイイン</t>
    </rPh>
    <phoneticPr fontId="2"/>
  </si>
  <si>
    <t>世帯員４</t>
    <rPh sb="0" eb="3">
      <t>セタイイン</t>
    </rPh>
    <phoneticPr fontId="2"/>
  </si>
  <si>
    <t>世帯員５</t>
    <rPh sb="0" eb="3">
      <t>セタイイン</t>
    </rPh>
    <phoneticPr fontId="2"/>
  </si>
  <si>
    <t>世帯員６</t>
    <rPh sb="0" eb="3">
      <t>セタイイン</t>
    </rPh>
    <phoneticPr fontId="2"/>
  </si>
  <si>
    <t>人</t>
    <rPh sb="0" eb="1">
      <t>ニン</t>
    </rPh>
    <phoneticPr fontId="2"/>
  </si>
  <si>
    <t>基礎データシート</t>
    <rPh sb="0" eb="2">
      <t>キソ</t>
    </rPh>
    <phoneticPr fontId="2"/>
  </si>
  <si>
    <t>基礎控除</t>
    <rPh sb="0" eb="2">
      <t>キソ</t>
    </rPh>
    <rPh sb="2" eb="4">
      <t>コウジョ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</si>
  <si>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</si>
  <si>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資産割額</t>
    <rPh sb="0" eb="2">
      <t>シサン</t>
    </rPh>
    <rPh sb="2" eb="3">
      <t>ワリ</t>
    </rPh>
    <rPh sb="3" eb="4">
      <t>ガク</t>
    </rPh>
    <phoneticPr fontId="2"/>
  </si>
  <si>
    <t>限度額</t>
    <rPh sb="0" eb="2">
      <t>ゲンド</t>
    </rPh>
    <rPh sb="2" eb="3">
      <t>ガク</t>
    </rPh>
    <phoneticPr fontId="2"/>
  </si>
  <si>
    <t>軽減判定</t>
    <rPh sb="0" eb="2">
      <t>ケイゲン</t>
    </rPh>
    <rPh sb="2" eb="4">
      <t>ハンテイ</t>
    </rPh>
    <phoneticPr fontId="2"/>
  </si>
  <si>
    <t>給与所得</t>
    <rPh sb="0" eb="2">
      <t>キュウヨ</t>
    </rPh>
    <rPh sb="2" eb="4">
      <t>ショトク</t>
    </rPh>
    <phoneticPr fontId="2"/>
  </si>
  <si>
    <t>年金所得</t>
    <rPh sb="0" eb="2">
      <t>ネンキン</t>
    </rPh>
    <rPh sb="2" eb="4">
      <t>ショトク</t>
    </rPh>
    <phoneticPr fontId="2"/>
  </si>
  <si>
    <t>国保用資産税額</t>
    <rPh sb="0" eb="2">
      <t>コクホ</t>
    </rPh>
    <rPh sb="2" eb="3">
      <t>ヨウ</t>
    </rPh>
    <rPh sb="3" eb="6">
      <t>シサンゼイ</t>
    </rPh>
    <rPh sb="6" eb="7">
      <t>ガク</t>
    </rPh>
    <phoneticPr fontId="2"/>
  </si>
  <si>
    <t>合　　計</t>
    <rPh sb="0" eb="1">
      <t>ゴウ</t>
    </rPh>
    <rPh sb="3" eb="4">
      <t>ケイ</t>
    </rPh>
    <phoneticPr fontId="2"/>
  </si>
  <si>
    <t>あくまでも概算ですので実際の税額と異なる場合があります。</t>
    <rPh sb="5" eb="7">
      <t>ガイサン</t>
    </rPh>
    <rPh sb="11" eb="13">
      <t>ジッサイ</t>
    </rPh>
    <rPh sb="14" eb="16">
      <t>ゼイガク</t>
    </rPh>
    <rPh sb="17" eb="18">
      <t>コト</t>
    </rPh>
    <rPh sb="20" eb="22">
      <t>バアイ</t>
    </rPh>
    <phoneticPr fontId="2"/>
  </si>
  <si>
    <t>計</t>
    <rPh sb="0" eb="1">
      <t>ケイ</t>
    </rPh>
    <phoneticPr fontId="2"/>
  </si>
  <si>
    <t>介護該当人数</t>
    <rPh sb="0" eb="2">
      <t>カイゴ</t>
    </rPh>
    <rPh sb="2" eb="4">
      <t>ガイトウ</t>
    </rPh>
    <rPh sb="4" eb="6">
      <t>ニンズウ</t>
    </rPh>
    <phoneticPr fontId="2"/>
  </si>
  <si>
    <t>医療分計</t>
    <rPh sb="0" eb="2">
      <t>イリョウ</t>
    </rPh>
    <rPh sb="2" eb="3">
      <t>ブン</t>
    </rPh>
    <rPh sb="3" eb="4">
      <t>ケイ</t>
    </rPh>
    <phoneticPr fontId="2"/>
  </si>
  <si>
    <t>介護分計</t>
    <rPh sb="0" eb="2">
      <t>カイゴ</t>
    </rPh>
    <rPh sb="2" eb="3">
      <t>ブン</t>
    </rPh>
    <rPh sb="3" eb="4">
      <t>ケイ</t>
    </rPh>
    <phoneticPr fontId="2"/>
  </si>
  <si>
    <t>歳</t>
    <rPh sb="0" eb="1">
      <t>サイ</t>
    </rPh>
    <phoneticPr fontId="2"/>
  </si>
  <si>
    <t>世帯員７</t>
    <rPh sb="0" eb="3">
      <t>セタイイン</t>
    </rPh>
    <phoneticPr fontId="2"/>
  </si>
  <si>
    <t>支援金分</t>
    <rPh sb="0" eb="3">
      <t>シエンキン</t>
    </rPh>
    <rPh sb="3" eb="4">
      <t>ブン</t>
    </rPh>
    <phoneticPr fontId="2"/>
  </si>
  <si>
    <t>7割軽減</t>
    <rPh sb="1" eb="2">
      <t>ワリ</t>
    </rPh>
    <rPh sb="2" eb="4">
      <t>ケイゲン</t>
    </rPh>
    <phoneticPr fontId="2"/>
  </si>
  <si>
    <t>5割軽減</t>
    <rPh sb="1" eb="2">
      <t>ワリ</t>
    </rPh>
    <rPh sb="2" eb="4">
      <t>ケイゲン</t>
    </rPh>
    <phoneticPr fontId="2"/>
  </si>
  <si>
    <t>2割軽減</t>
    <rPh sb="1" eb="2">
      <t>ワリ</t>
    </rPh>
    <rPh sb="2" eb="4">
      <t>ケイゲン</t>
    </rPh>
    <phoneticPr fontId="2"/>
  </si>
  <si>
    <t>国民健康保険税は世帯全員の分を合算して世帯主に課税されます。</t>
    <rPh sb="0" eb="2">
      <t>コクミン</t>
    </rPh>
    <rPh sb="2" eb="4">
      <t>ケンコウ</t>
    </rPh>
    <rPh sb="4" eb="6">
      <t>ホケン</t>
    </rPh>
    <rPh sb="6" eb="7">
      <t>ゼイ</t>
    </rPh>
    <rPh sb="8" eb="10">
      <t>セタイ</t>
    </rPh>
    <rPh sb="10" eb="12">
      <t>ゼンイン</t>
    </rPh>
    <rPh sb="13" eb="14">
      <t>ブン</t>
    </rPh>
    <rPh sb="15" eb="17">
      <t>ガッサン</t>
    </rPh>
    <rPh sb="19" eb="22">
      <t>セタイヌシ</t>
    </rPh>
    <rPh sb="23" eb="25">
      <t>カゼイ</t>
    </rPh>
    <phoneticPr fontId="2"/>
  </si>
  <si>
    <t>給与収入額</t>
    <rPh sb="0" eb="2">
      <t>キュウヨ</t>
    </rPh>
    <rPh sb="2" eb="4">
      <t>シュウニュウ</t>
    </rPh>
    <rPh sb="4" eb="5">
      <t>ガク</t>
    </rPh>
    <phoneticPr fontId="2"/>
  </si>
  <si>
    <t>年金収入額</t>
    <rPh sb="0" eb="2">
      <t>ネンキン</t>
    </rPh>
    <rPh sb="2" eb="4">
      <t>シュウニュウ</t>
    </rPh>
    <rPh sb="4" eb="5">
      <t>ガク</t>
    </rPh>
    <phoneticPr fontId="2"/>
  </si>
  <si>
    <t>営業その他の所得額</t>
    <rPh sb="0" eb="2">
      <t>エイギョウ</t>
    </rPh>
    <rPh sb="4" eb="5">
      <t>タ</t>
    </rPh>
    <rPh sb="6" eb="8">
      <t>ショトク</t>
    </rPh>
    <rPh sb="8" eb="9">
      <t>ガク</t>
    </rPh>
    <phoneticPr fontId="2"/>
  </si>
  <si>
    <t>加入者数</t>
    <rPh sb="0" eb="2">
      <t>カニュウ</t>
    </rPh>
    <rPh sb="2" eb="3">
      <t>シャ</t>
    </rPh>
    <rPh sb="3" eb="4">
      <t>スウ</t>
    </rPh>
    <phoneticPr fontId="2"/>
  </si>
  <si>
    <t>（４０～６４歳の加入者）</t>
    <rPh sb="6" eb="7">
      <t>サイ</t>
    </rPh>
    <rPh sb="8" eb="11">
      <t>カニュウシャ</t>
    </rPh>
    <phoneticPr fontId="2"/>
  </si>
  <si>
    <t>世帯の課税所得額</t>
    <rPh sb="0" eb="2">
      <t>セタイ</t>
    </rPh>
    <rPh sb="3" eb="5">
      <t>カゼイ</t>
    </rPh>
    <rPh sb="5" eb="7">
      <t>ショトク</t>
    </rPh>
    <rPh sb="7" eb="8">
      <t>ガク</t>
    </rPh>
    <phoneticPr fontId="2"/>
  </si>
  <si>
    <t>所得割額</t>
    <rPh sb="0" eb="1">
      <t>トコロ</t>
    </rPh>
    <rPh sb="1" eb="2">
      <t>エ</t>
    </rPh>
    <rPh sb="2" eb="3">
      <t>ワリ</t>
    </rPh>
    <rPh sb="3" eb="4">
      <t>ガク</t>
    </rPh>
    <phoneticPr fontId="2"/>
  </si>
  <si>
    <t>均等割額</t>
    <rPh sb="0" eb="1">
      <t>ヒトシ</t>
    </rPh>
    <rPh sb="1" eb="2">
      <t>トウ</t>
    </rPh>
    <rPh sb="2" eb="3">
      <t>ワリ</t>
    </rPh>
    <rPh sb="3" eb="4">
      <t>ガク</t>
    </rPh>
    <phoneticPr fontId="2"/>
  </si>
  <si>
    <t>平等割額</t>
    <rPh sb="0" eb="1">
      <t>ヒラ</t>
    </rPh>
    <rPh sb="1" eb="2">
      <t>トウ</t>
    </rPh>
    <rPh sb="2" eb="3">
      <t>ワリ</t>
    </rPh>
    <rPh sb="3" eb="4">
      <t>ガク</t>
    </rPh>
    <phoneticPr fontId="2"/>
  </si>
  <si>
    <t>医療分・支援金分</t>
    <rPh sb="0" eb="2">
      <t>イリョウ</t>
    </rPh>
    <rPh sb="2" eb="3">
      <t>ブン</t>
    </rPh>
    <rPh sb="4" eb="7">
      <t>シエンキン</t>
    </rPh>
    <rPh sb="7" eb="8">
      <t>ブン</t>
    </rPh>
    <phoneticPr fontId="2"/>
  </si>
  <si>
    <t>端数処理前</t>
    <rPh sb="0" eb="2">
      <t>ハスウ</t>
    </rPh>
    <rPh sb="2" eb="4">
      <t>ショリ</t>
    </rPh>
    <rPh sb="4" eb="5">
      <t>マエ</t>
    </rPh>
    <phoneticPr fontId="2"/>
  </si>
  <si>
    <t>端数処理後</t>
    <rPh sb="0" eb="2">
      <t>ハスウ</t>
    </rPh>
    <rPh sb="2" eb="4">
      <t>ショリ</t>
    </rPh>
    <rPh sb="4" eb="5">
      <t>ゴ</t>
    </rPh>
    <phoneticPr fontId="2"/>
  </si>
  <si>
    <t>国民健康
保険加入者</t>
    <rPh sb="0" eb="2">
      <t>コクミン</t>
    </rPh>
    <rPh sb="2" eb="4">
      <t>ケンコウ</t>
    </rPh>
    <rPh sb="5" eb="7">
      <t>ホケン</t>
    </rPh>
    <rPh sb="7" eb="9">
      <t>カニュウ</t>
    </rPh>
    <rPh sb="9" eb="10">
      <t>シャ</t>
    </rPh>
    <phoneticPr fontId="2"/>
  </si>
  <si>
    <t>医療分軽減額</t>
    <rPh sb="0" eb="2">
      <t>イリョウ</t>
    </rPh>
    <rPh sb="2" eb="3">
      <t>ブン</t>
    </rPh>
    <rPh sb="3" eb="5">
      <t>ケイゲン</t>
    </rPh>
    <rPh sb="5" eb="6">
      <t>ガク</t>
    </rPh>
    <phoneticPr fontId="2"/>
  </si>
  <si>
    <t>７割軽減</t>
    <rPh sb="1" eb="2">
      <t>ワリ</t>
    </rPh>
    <rPh sb="2" eb="4">
      <t>ケイゲン</t>
    </rPh>
    <phoneticPr fontId="2"/>
  </si>
  <si>
    <t>５割軽減</t>
    <rPh sb="1" eb="2">
      <t>ワリ</t>
    </rPh>
    <rPh sb="2" eb="4">
      <t>ケイゲン</t>
    </rPh>
    <phoneticPr fontId="2"/>
  </si>
  <si>
    <t>２割軽減</t>
    <rPh sb="1" eb="2">
      <t>ワリ</t>
    </rPh>
    <rPh sb="2" eb="4">
      <t>ケイゲン</t>
    </rPh>
    <phoneticPr fontId="2"/>
  </si>
  <si>
    <t>介護分軽減額</t>
    <rPh sb="0" eb="2">
      <t>カイゴ</t>
    </rPh>
    <rPh sb="2" eb="3">
      <t>ブン</t>
    </rPh>
    <rPh sb="3" eb="5">
      <t>ケイゲン</t>
    </rPh>
    <rPh sb="5" eb="6">
      <t>ガク</t>
    </rPh>
    <phoneticPr fontId="2"/>
  </si>
  <si>
    <t>加入者２</t>
    <rPh sb="0" eb="3">
      <t>カニュウシャ</t>
    </rPh>
    <phoneticPr fontId="2"/>
  </si>
  <si>
    <t>加入者３</t>
    <rPh sb="0" eb="3">
      <t>カニュウシャ</t>
    </rPh>
    <phoneticPr fontId="2"/>
  </si>
  <si>
    <t>加入者４</t>
    <rPh sb="0" eb="3">
      <t>カニュウシャ</t>
    </rPh>
    <phoneticPr fontId="2"/>
  </si>
  <si>
    <t>加入者５</t>
    <rPh sb="0" eb="3">
      <t>カニュウシャ</t>
    </rPh>
    <phoneticPr fontId="2"/>
  </si>
  <si>
    <t>加入者６</t>
    <rPh sb="0" eb="3">
      <t>カニュウシャ</t>
    </rPh>
    <phoneticPr fontId="2"/>
  </si>
  <si>
    <t>加入者７</t>
    <rPh sb="0" eb="3">
      <t>カニュウシャ</t>
    </rPh>
    <phoneticPr fontId="2"/>
  </si>
  <si>
    <t>加入者１</t>
    <rPh sb="0" eb="3">
      <t>カニュウシャ</t>
    </rPh>
    <phoneticPr fontId="2"/>
  </si>
  <si>
    <t>擬制世帯主</t>
    <rPh sb="0" eb="2">
      <t>ギセイ</t>
    </rPh>
    <rPh sb="2" eb="5">
      <t>セタイヌシ</t>
    </rPh>
    <phoneticPr fontId="2"/>
  </si>
  <si>
    <t>その他の所得③</t>
    <rPh sb="2" eb="3">
      <t>タ</t>
    </rPh>
    <rPh sb="4" eb="6">
      <t>ショトク</t>
    </rPh>
    <phoneticPr fontId="2"/>
  </si>
  <si>
    <t>支援金分軽減額</t>
    <rPh sb="0" eb="3">
      <t>シエンキン</t>
    </rPh>
    <rPh sb="3" eb="4">
      <t>ブン</t>
    </rPh>
    <rPh sb="4" eb="6">
      <t>ケイゲン</t>
    </rPh>
    <rPh sb="6" eb="7">
      <t>ガク</t>
    </rPh>
    <phoneticPr fontId="2"/>
  </si>
  <si>
    <t>年金所得判定②
軽減用年金所得</t>
    <rPh sb="0" eb="2">
      <t>ネンキン</t>
    </rPh>
    <rPh sb="2" eb="4">
      <t>ショトク</t>
    </rPh>
    <rPh sb="4" eb="6">
      <t>ハンテイ</t>
    </rPh>
    <rPh sb="8" eb="10">
      <t>ケイゲン</t>
    </rPh>
    <rPh sb="10" eb="11">
      <t>ヨウ</t>
    </rPh>
    <rPh sb="11" eb="13">
      <t>ネンキン</t>
    </rPh>
    <rPh sb="13" eb="15">
      <t>ショトク</t>
    </rPh>
    <phoneticPr fontId="2"/>
  </si>
  <si>
    <t>(社会保険等の加入者)</t>
    <rPh sb="1" eb="3">
      <t>シャカイ</t>
    </rPh>
    <rPh sb="3" eb="5">
      <t>ホケン</t>
    </rPh>
    <rPh sb="5" eb="6">
      <t>トウ</t>
    </rPh>
    <rPh sb="7" eb="9">
      <t>カニュウ</t>
    </rPh>
    <rPh sb="9" eb="10">
      <t>シャ</t>
    </rPh>
    <phoneticPr fontId="2"/>
  </si>
  <si>
    <t>軽 減 額</t>
    <rPh sb="0" eb="1">
      <t>ケイ</t>
    </rPh>
    <rPh sb="2" eb="3">
      <t>ゲン</t>
    </rPh>
    <rPh sb="4" eb="5">
      <t>ガク</t>
    </rPh>
    <phoneticPr fontId="2"/>
  </si>
  <si>
    <t xml:space="preserve">年齢  </t>
    <rPh sb="0" eb="2">
      <t>ネンレイ</t>
    </rPh>
    <phoneticPr fontId="2"/>
  </si>
  <si>
    <t>※前年(1～12月)の
   総支給額です</t>
    <rPh sb="1" eb="2">
      <t>マエ</t>
    </rPh>
    <rPh sb="2" eb="3">
      <t>ネン</t>
    </rPh>
    <rPh sb="8" eb="9">
      <t>ツキ</t>
    </rPh>
    <rPh sb="15" eb="16">
      <t>ソウ</t>
    </rPh>
    <rPh sb="16" eb="18">
      <t>シキュウ</t>
    </rPh>
    <rPh sb="18" eb="19">
      <t>ガク</t>
    </rPh>
    <phoneticPr fontId="2"/>
  </si>
  <si>
    <t>※前年の収入から諸
   経費を引いた後の
   金額です</t>
    <rPh sb="1" eb="2">
      <t>マエ</t>
    </rPh>
    <rPh sb="2" eb="3">
      <t>ネン</t>
    </rPh>
    <rPh sb="4" eb="6">
      <t>シュウニュウ</t>
    </rPh>
    <rPh sb="8" eb="9">
      <t>ショ</t>
    </rPh>
    <rPh sb="13" eb="14">
      <t>キョウ</t>
    </rPh>
    <rPh sb="14" eb="15">
      <t>ヒ</t>
    </rPh>
    <rPh sb="16" eb="17">
      <t>ヒ</t>
    </rPh>
    <rPh sb="19" eb="20">
      <t>ノチ</t>
    </rPh>
    <rPh sb="25" eb="27">
      <t>キンガク</t>
    </rPh>
    <phoneticPr fontId="2"/>
  </si>
  <si>
    <t>※１歳未満の
    子供は0歳
    を入力</t>
    <rPh sb="2" eb="3">
      <t>サイ</t>
    </rPh>
    <rPh sb="3" eb="5">
      <t>ミマン</t>
    </rPh>
    <rPh sb="11" eb="13">
      <t>コドモ</t>
    </rPh>
    <rPh sb="15" eb="16">
      <t>サイ</t>
    </rPh>
    <rPh sb="22" eb="24">
      <t>ニュウリョク</t>
    </rPh>
    <phoneticPr fontId="2"/>
  </si>
  <si>
    <t>ご利用上の注意点（必ずお読みください）</t>
    <rPh sb="1" eb="3">
      <t>リヨウ</t>
    </rPh>
    <rPh sb="3" eb="4">
      <t>ジョウ</t>
    </rPh>
    <rPh sb="7" eb="8">
      <t>テン</t>
    </rPh>
    <rPh sb="9" eb="10">
      <t>カナラ</t>
    </rPh>
    <rPh sb="12" eb="13">
      <t>ヨ</t>
    </rPh>
    <phoneticPr fontId="2"/>
  </si>
  <si>
    <t>❶　医　療　分</t>
    <rPh sb="2" eb="3">
      <t>イ</t>
    </rPh>
    <rPh sb="4" eb="5">
      <t>リョウ</t>
    </rPh>
    <rPh sb="6" eb="7">
      <t>ブン</t>
    </rPh>
    <phoneticPr fontId="2"/>
  </si>
  <si>
    <t>うち介護分対象者数</t>
    <rPh sb="2" eb="4">
      <t>カイゴ</t>
    </rPh>
    <rPh sb="4" eb="5">
      <t>ブン</t>
    </rPh>
    <rPh sb="5" eb="7">
      <t>タイショウ</t>
    </rPh>
    <rPh sb="7" eb="8">
      <t>モノ</t>
    </rPh>
    <rPh sb="8" eb="9">
      <t>カズ</t>
    </rPh>
    <phoneticPr fontId="2"/>
  </si>
  <si>
    <t>❸　介　護　分</t>
    <rPh sb="2" eb="3">
      <t>カイ</t>
    </rPh>
    <rPh sb="4" eb="5">
      <t>マモル</t>
    </rPh>
    <rPh sb="6" eb="7">
      <t>ブン</t>
    </rPh>
    <phoneticPr fontId="2"/>
  </si>
  <si>
    <t>○試算条件入力</t>
    <rPh sb="1" eb="3">
      <t>シサン</t>
    </rPh>
    <rPh sb="3" eb="5">
      <t>ジョウケン</t>
    </rPh>
    <rPh sb="5" eb="7">
      <t>ニュウリョク</t>
    </rPh>
    <phoneticPr fontId="2"/>
  </si>
  <si>
    <t>❷後期高齢者支援分</t>
    <rPh sb="1" eb="3">
      <t>コウキ</t>
    </rPh>
    <rPh sb="3" eb="6">
      <t>コウレイシャ</t>
    </rPh>
    <rPh sb="6" eb="8">
      <t>シエン</t>
    </rPh>
    <rPh sb="8" eb="9">
      <t>ブン</t>
    </rPh>
    <phoneticPr fontId="2"/>
  </si>
  <si>
    <t>※入力が済みましたら下の『年間保険税額（❶＋❷＋❸）』をご覧ください。試算結果が表示されています。</t>
    <rPh sb="1" eb="3">
      <t>ニュウリョク</t>
    </rPh>
    <rPh sb="4" eb="5">
      <t>ス</t>
    </rPh>
    <rPh sb="10" eb="11">
      <t>シタ</t>
    </rPh>
    <rPh sb="13" eb="15">
      <t>ネンカン</t>
    </rPh>
    <rPh sb="15" eb="17">
      <t>ホケン</t>
    </rPh>
    <rPh sb="17" eb="19">
      <t>ゼイガク</t>
    </rPh>
    <rPh sb="29" eb="30">
      <t>ラン</t>
    </rPh>
    <rPh sb="35" eb="37">
      <t>シサン</t>
    </rPh>
    <rPh sb="37" eb="39">
      <t>ケッカ</t>
    </rPh>
    <rPh sb="40" eb="42">
      <t>ヒョウジ</t>
    </rPh>
    <phoneticPr fontId="2"/>
  </si>
  <si>
    <t>年度途中での年齢到達による介護分の該当・非該当、後期高齢者医療保険への移行には対応していません。</t>
    <rPh sb="0" eb="2">
      <t>ネンド</t>
    </rPh>
    <rPh sb="2" eb="4">
      <t>トチュウ</t>
    </rPh>
    <rPh sb="6" eb="8">
      <t>ネンレイ</t>
    </rPh>
    <rPh sb="8" eb="10">
      <t>トウタツ</t>
    </rPh>
    <rPh sb="13" eb="15">
      <t>カイゴ</t>
    </rPh>
    <rPh sb="15" eb="16">
      <t>ブン</t>
    </rPh>
    <rPh sb="17" eb="19">
      <t>ガイトウ</t>
    </rPh>
    <rPh sb="20" eb="23">
      <t>ヒガイトウ</t>
    </rPh>
    <rPh sb="24" eb="26">
      <t>コウキ</t>
    </rPh>
    <rPh sb="26" eb="28">
      <t>コウレイ</t>
    </rPh>
    <rPh sb="28" eb="29">
      <t>シャ</t>
    </rPh>
    <rPh sb="29" eb="31">
      <t>イリョウ</t>
    </rPh>
    <rPh sb="31" eb="33">
      <t>ホケン</t>
    </rPh>
    <rPh sb="35" eb="37">
      <t>イコウ</t>
    </rPh>
    <rPh sb="39" eb="41">
      <t>タイオウ</t>
    </rPh>
    <phoneticPr fontId="2"/>
  </si>
  <si>
    <t>介護分は４０歳に到達した月から６５歳に到達する前月まで課税されます。</t>
    <rPh sb="0" eb="2">
      <t>カイゴ</t>
    </rPh>
    <rPh sb="2" eb="3">
      <t>ブン</t>
    </rPh>
    <rPh sb="6" eb="7">
      <t>サイ</t>
    </rPh>
    <rPh sb="8" eb="10">
      <t>トウタツ</t>
    </rPh>
    <rPh sb="12" eb="13">
      <t>ツキ</t>
    </rPh>
    <rPh sb="17" eb="18">
      <t>サイ</t>
    </rPh>
    <rPh sb="19" eb="21">
      <t>トウタツ</t>
    </rPh>
    <rPh sb="23" eb="24">
      <t>マエ</t>
    </rPh>
    <rPh sb="24" eb="25">
      <t>ツキ</t>
    </rPh>
    <rPh sb="27" eb="29">
      <t>カゼイ</t>
    </rPh>
    <phoneticPr fontId="2"/>
  </si>
  <si>
    <t>水色の該当する欄に半角数字で入力してください。</t>
    <rPh sb="0" eb="2">
      <t>ミズイロ</t>
    </rPh>
    <rPh sb="3" eb="5">
      <t>ガイトウ</t>
    </rPh>
    <rPh sb="7" eb="8">
      <t>ラン</t>
    </rPh>
    <rPh sb="9" eb="11">
      <t>ハンカク</t>
    </rPh>
    <rPh sb="11" eb="13">
      <t>スウジ</t>
    </rPh>
    <rPh sb="14" eb="16">
      <t>ニュウリョク</t>
    </rPh>
    <phoneticPr fontId="2"/>
  </si>
  <si>
    <t>年金収入判定</t>
    <rPh sb="0" eb="2">
      <t>ネンキン</t>
    </rPh>
    <rPh sb="2" eb="4">
      <t>シュウニュウ</t>
    </rPh>
    <rPh sb="4" eb="6">
      <t>ハンテイ</t>
    </rPh>
    <phoneticPr fontId="2"/>
  </si>
  <si>
    <t>年金以外の所得判定</t>
    <rPh sb="0" eb="2">
      <t>ネンキン</t>
    </rPh>
    <rPh sb="2" eb="4">
      <t>イガイ</t>
    </rPh>
    <rPh sb="5" eb="7">
      <t>ショトク</t>
    </rPh>
    <rPh sb="7" eb="9">
      <t>ハンテイ</t>
    </rPh>
    <phoneticPr fontId="2"/>
  </si>
  <si>
    <t>年齢</t>
    <rPh sb="0" eb="2">
      <t>ネンレイ</t>
    </rPh>
    <phoneticPr fontId="2"/>
  </si>
  <si>
    <t>年金以外の所得</t>
    <rPh sb="0" eb="2">
      <t>ネンキン</t>
    </rPh>
    <rPh sb="2" eb="4">
      <t>イガイ</t>
    </rPh>
    <rPh sb="5" eb="7">
      <t>ショトク</t>
    </rPh>
    <phoneticPr fontId="2"/>
  </si>
  <si>
    <t>控除額</t>
    <rPh sb="0" eb="2">
      <t>コウジョ</t>
    </rPh>
    <rPh sb="2" eb="3">
      <t>ガク</t>
    </rPh>
    <phoneticPr fontId="2"/>
  </si>
  <si>
    <t>コード</t>
    <phoneticPr fontId="2"/>
  </si>
  <si>
    <t>年金控除額</t>
    <rPh sb="0" eb="2">
      <t>ネンキン</t>
    </rPh>
    <rPh sb="2" eb="4">
      <t>コウジョ</t>
    </rPh>
    <rPh sb="4" eb="5">
      <t>ガク</t>
    </rPh>
    <phoneticPr fontId="2"/>
  </si>
  <si>
    <t>公的年金雑所得額</t>
    <rPh sb="0" eb="2">
      <t>コウテキ</t>
    </rPh>
    <rPh sb="2" eb="4">
      <t>ネンキン</t>
    </rPh>
    <rPh sb="4" eb="7">
      <t>ザツショトク</t>
    </rPh>
    <rPh sb="7" eb="8">
      <t>ガク</t>
    </rPh>
    <phoneticPr fontId="2"/>
  </si>
  <si>
    <t>65歳判定</t>
    <rPh sb="2" eb="3">
      <t>サイ</t>
    </rPh>
    <rPh sb="3" eb="5">
      <t>ハンテイ</t>
    </rPh>
    <phoneticPr fontId="2"/>
  </si>
  <si>
    <t>世帯主</t>
    <rPh sb="0" eb="3">
      <t>セタイヌシ</t>
    </rPh>
    <phoneticPr fontId="2"/>
  </si>
  <si>
    <t>給与所得者等人数</t>
    <rPh sb="0" eb="2">
      <t>キュウヨ</t>
    </rPh>
    <rPh sb="2" eb="4">
      <t>ショトク</t>
    </rPh>
    <rPh sb="4" eb="5">
      <t>シャ</t>
    </rPh>
    <rPh sb="5" eb="6">
      <t>トウ</t>
    </rPh>
    <rPh sb="6" eb="8">
      <t>ニンズウ</t>
    </rPh>
    <phoneticPr fontId="2"/>
  </si>
  <si>
    <t>住民税基礎控除</t>
    <rPh sb="0" eb="3">
      <t>ジュウミンゼイ</t>
    </rPh>
    <rPh sb="3" eb="5">
      <t>キソ</t>
    </rPh>
    <rPh sb="5" eb="7">
      <t>コウジョ</t>
    </rPh>
    <phoneticPr fontId="2"/>
  </si>
  <si>
    <t>合計所得金額</t>
    <rPh sb="0" eb="2">
      <t>ゴウケイ</t>
    </rPh>
    <rPh sb="2" eb="4">
      <t>ショトク</t>
    </rPh>
    <rPh sb="4" eb="6">
      <t>キンガク</t>
    </rPh>
    <phoneticPr fontId="2"/>
  </si>
  <si>
    <t>所得割対象額</t>
    <rPh sb="0" eb="2">
      <t>ショトク</t>
    </rPh>
    <rPh sb="2" eb="3">
      <t>ワリ</t>
    </rPh>
    <rPh sb="3" eb="5">
      <t>タイショウ</t>
    </rPh>
    <rPh sb="5" eb="6">
      <t>ガク</t>
    </rPh>
    <phoneticPr fontId="2"/>
  </si>
  <si>
    <t>所得計(①+②+③)
軽減基準所得</t>
    <rPh sb="0" eb="2">
      <t>ショトク</t>
    </rPh>
    <rPh sb="2" eb="3">
      <t>ケイ</t>
    </rPh>
    <rPh sb="11" eb="13">
      <t>ケイゲン</t>
    </rPh>
    <rPh sb="13" eb="15">
      <t>キジュン</t>
    </rPh>
    <rPh sb="15" eb="17">
      <t>ショトク</t>
    </rPh>
    <phoneticPr fontId="2"/>
  </si>
  <si>
    <t>給与所得者等該当</t>
    <rPh sb="0" eb="2">
      <t>キュウヨ</t>
    </rPh>
    <rPh sb="2" eb="4">
      <t>ショトク</t>
    </rPh>
    <rPh sb="4" eb="5">
      <t>シャ</t>
    </rPh>
    <rPh sb="5" eb="6">
      <t>トウ</t>
    </rPh>
    <rPh sb="6" eb="8">
      <t>ガイトウ</t>
    </rPh>
    <phoneticPr fontId="2"/>
  </si>
  <si>
    <t>支援分計</t>
    <rPh sb="0" eb="2">
      <t>シエン</t>
    </rPh>
    <rPh sb="2" eb="3">
      <t>ブン</t>
    </rPh>
    <rPh sb="3" eb="4">
      <t>ケイ</t>
    </rPh>
    <phoneticPr fontId="2"/>
  </si>
  <si>
    <t>給与所得計算</t>
    <rPh sb="0" eb="2">
      <t>キュウヨ</t>
    </rPh>
    <rPh sb="2" eb="4">
      <t>ショトク</t>
    </rPh>
    <rPh sb="4" eb="6">
      <t>ケイサン</t>
    </rPh>
    <phoneticPr fontId="2"/>
  </si>
  <si>
    <t>調整控除後
給与所得</t>
    <rPh sb="0" eb="2">
      <t>チョウセイ</t>
    </rPh>
    <rPh sb="2" eb="4">
      <t>コウジョ</t>
    </rPh>
    <rPh sb="4" eb="5">
      <t>ゴ</t>
    </rPh>
    <rPh sb="6" eb="8">
      <t>キュウヨ</t>
    </rPh>
    <rPh sb="8" eb="10">
      <t>ショトク</t>
    </rPh>
    <phoneticPr fontId="2"/>
  </si>
  <si>
    <t>給与所得調整控除（障害者・扶養）</t>
    <rPh sb="0" eb="2">
      <t>キュウヨ</t>
    </rPh>
    <rPh sb="2" eb="4">
      <t>ショトク</t>
    </rPh>
    <rPh sb="4" eb="6">
      <t>チョウセイ</t>
    </rPh>
    <rPh sb="6" eb="8">
      <t>コウジョ</t>
    </rPh>
    <rPh sb="9" eb="12">
      <t>ショウガイシャ</t>
    </rPh>
    <rPh sb="13" eb="15">
      <t>フヨウ</t>
    </rPh>
    <phoneticPr fontId="2"/>
  </si>
  <si>
    <t>給与所得調整控除（給与・年金）</t>
    <rPh sb="0" eb="2">
      <t>キュウヨ</t>
    </rPh>
    <rPh sb="2" eb="4">
      <t>ショトク</t>
    </rPh>
    <rPh sb="4" eb="6">
      <t>チョウセイ</t>
    </rPh>
    <rPh sb="6" eb="8">
      <t>コウジョ</t>
    </rPh>
    <rPh sb="9" eb="11">
      <t>キュウヨ</t>
    </rPh>
    <rPh sb="12" eb="14">
      <t>ネンキン</t>
    </rPh>
    <phoneticPr fontId="2"/>
  </si>
  <si>
    <t>障害者・扶養</t>
    <rPh sb="0" eb="3">
      <t>ショウガイシャ</t>
    </rPh>
    <rPh sb="4" eb="6">
      <t>フヨウ</t>
    </rPh>
    <phoneticPr fontId="2"/>
  </si>
  <si>
    <t>給与＆年金</t>
    <rPh sb="0" eb="2">
      <t>キュウヨ</t>
    </rPh>
    <rPh sb="3" eb="5">
      <t>ネンキン</t>
    </rPh>
    <phoneticPr fontId="2"/>
  </si>
  <si>
    <t xml:space="preserve">所得金額調整控除
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</si>
  <si>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r>
      <t>計算できるのは世帯主を含め</t>
    </r>
    <r>
      <rPr>
        <b/>
        <sz val="11"/>
        <rFont val="HG丸ｺﾞｼｯｸM-PRO"/>
        <family val="3"/>
        <charset val="128"/>
      </rPr>
      <t>７人まで</t>
    </r>
    <r>
      <rPr>
        <sz val="11"/>
        <rFont val="HG丸ｺﾞｼｯｸM-PRO"/>
        <family val="3"/>
        <charset val="128"/>
      </rPr>
      <t>です。</t>
    </r>
    <rPh sb="0" eb="2">
      <t>ケイサン</t>
    </rPh>
    <rPh sb="7" eb="10">
      <t>セタイヌシ</t>
    </rPh>
    <rPh sb="11" eb="12">
      <t>フク</t>
    </rPh>
    <rPh sb="14" eb="15">
      <t>ニン</t>
    </rPh>
    <phoneticPr fontId="2"/>
  </si>
  <si>
    <r>
      <t>※世帯主は</t>
    </r>
    <r>
      <rPr>
        <b/>
        <sz val="8"/>
        <color indexed="60"/>
        <rFont val="HG丸ｺﾞｼｯｸM-PRO"/>
        <family val="3"/>
        <charset val="128"/>
      </rPr>
      <t>どちらかに</t>
    </r>
    <r>
      <rPr>
        <sz val="8"/>
        <rFont val="HG丸ｺﾞｼｯｸM-PRO"/>
        <family val="3"/>
        <charset val="128"/>
      </rPr>
      <t>必ず入力してください(軽減判定に必要です)</t>
    </r>
    <rPh sb="1" eb="4">
      <t>セタイヌシ</t>
    </rPh>
    <rPh sb="10" eb="11">
      <t>カナラ</t>
    </rPh>
    <rPh sb="12" eb="14">
      <t>ニュウリョク</t>
    </rPh>
    <rPh sb="21" eb="23">
      <t>ケイゲン</t>
    </rPh>
    <rPh sb="23" eb="25">
      <t>ハンテイ</t>
    </rPh>
    <rPh sb="26" eb="28">
      <t>ヒツヨウ</t>
    </rPh>
    <phoneticPr fontId="2"/>
  </si>
  <si>
    <r>
      <t>国保に</t>
    </r>
    <r>
      <rPr>
        <b/>
        <sz val="11"/>
        <color indexed="60"/>
        <rFont val="HG丸ｺﾞｼｯｸM-PRO"/>
        <family val="3"/>
        <charset val="128"/>
      </rPr>
      <t>加入する</t>
    </r>
    <r>
      <rPr>
        <sz val="11"/>
        <rFont val="HG丸ｺﾞｼｯｸM-PRO"/>
        <family val="3"/>
        <charset val="128"/>
      </rPr>
      <t>世帯主</t>
    </r>
    <rPh sb="0" eb="2">
      <t>コクホ</t>
    </rPh>
    <rPh sb="3" eb="5">
      <t>カニュウ</t>
    </rPh>
    <rPh sb="7" eb="10">
      <t>セタイヌシ</t>
    </rPh>
    <phoneticPr fontId="2"/>
  </si>
  <si>
    <r>
      <t>国保に</t>
    </r>
    <r>
      <rPr>
        <b/>
        <sz val="11"/>
        <color indexed="60"/>
        <rFont val="HG丸ｺﾞｼｯｸM-PRO"/>
        <family val="3"/>
        <charset val="128"/>
      </rPr>
      <t>加入しない</t>
    </r>
    <r>
      <rPr>
        <sz val="11"/>
        <rFont val="HG丸ｺﾞｼｯｸM-PRO"/>
        <family val="3"/>
        <charset val="128"/>
      </rPr>
      <t>世帯主</t>
    </r>
    <rPh sb="0" eb="2">
      <t>コクホ</t>
    </rPh>
    <rPh sb="3" eb="5">
      <t>カニュウ</t>
    </rPh>
    <rPh sb="8" eb="11">
      <t>セタイヌシ</t>
    </rPh>
    <phoneticPr fontId="2"/>
  </si>
  <si>
    <r>
      <t>　☆以下の項目に</t>
    </r>
    <r>
      <rPr>
        <b/>
        <sz val="10"/>
        <rFont val="HG丸ｺﾞｼｯｸM-PRO"/>
        <family val="3"/>
        <charset val="128"/>
      </rPr>
      <t>半角数字</t>
    </r>
    <r>
      <rPr>
        <sz val="10"/>
        <rFont val="HG丸ｺﾞｼｯｸM-PRO"/>
        <family val="3"/>
        <charset val="128"/>
      </rPr>
      <t>で入力してください。</t>
    </r>
    <rPh sb="2" eb="4">
      <t>イカ</t>
    </rPh>
    <rPh sb="5" eb="6">
      <t>コウ</t>
    </rPh>
    <rPh sb="6" eb="7">
      <t>モク</t>
    </rPh>
    <rPh sb="8" eb="10">
      <t>ハンカク</t>
    </rPh>
    <rPh sb="10" eb="12">
      <t>スウジ</t>
    </rPh>
    <rPh sb="13" eb="15">
      <t>ニュウリョク</t>
    </rPh>
    <phoneticPr fontId="2"/>
  </si>
  <si>
    <t>　　年間保険税額（❶＋❷＋❸）＝</t>
    <phoneticPr fontId="2"/>
  </si>
  <si>
    <t>　(収入がなくても年齢は必ず入力してください。入力されないと正しく計算できません。）</t>
    <rPh sb="23" eb="25">
      <t>ニュウリョク</t>
    </rPh>
    <rPh sb="30" eb="31">
      <t>タダ</t>
    </rPh>
    <rPh sb="33" eb="35">
      <t>ケイサン</t>
    </rPh>
    <phoneticPr fontId="2"/>
  </si>
  <si>
    <t>所得金額調整控除判定</t>
    <rPh sb="0" eb="2">
      <t>ショトク</t>
    </rPh>
    <rPh sb="2" eb="4">
      <t>キンガク</t>
    </rPh>
    <rPh sb="4" eb="6">
      <t>チョウセイ</t>
    </rPh>
    <rPh sb="6" eb="8">
      <t>コウジョ</t>
    </rPh>
    <rPh sb="8" eb="10">
      <t>ハンテイ</t>
    </rPh>
    <phoneticPr fontId="2"/>
  </si>
  <si>
    <t>　　　　参考（期別金額）→</t>
    <rPh sb="4" eb="6">
      <t>サンコウ</t>
    </rPh>
    <rPh sb="7" eb="8">
      <t>キ</t>
    </rPh>
    <rPh sb="8" eb="9">
      <t>ベツ</t>
    </rPh>
    <rPh sb="9" eb="11">
      <t>キンガク</t>
    </rPh>
    <phoneticPr fontId="2"/>
  </si>
  <si>
    <t>　　　参考（１ヶ月あたりの平均）→
　　　　年間保険税額÷１２か月</t>
    <rPh sb="3" eb="5">
      <t>サンコウ</t>
    </rPh>
    <rPh sb="8" eb="9">
      <t>ゲツ</t>
    </rPh>
    <rPh sb="13" eb="15">
      <t>ヘイキン</t>
    </rPh>
    <rPh sb="22" eb="24">
      <t>ネンカン</t>
    </rPh>
    <rPh sb="24" eb="26">
      <t>ホケン</t>
    </rPh>
    <rPh sb="26" eb="27">
      <t>ゼイ</t>
    </rPh>
    <rPh sb="27" eb="28">
      <t>ガク</t>
    </rPh>
    <rPh sb="32" eb="33">
      <t>ゲツ</t>
    </rPh>
    <phoneticPr fontId="2"/>
  </si>
  <si>
    <t>※端数処理済</t>
    <rPh sb="1" eb="3">
      <t>ハスウ</t>
    </rPh>
    <rPh sb="3" eb="5">
      <t>ショリ</t>
    </rPh>
    <rPh sb="5" eb="6">
      <t>ズ</t>
    </rPh>
    <phoneticPr fontId="2"/>
  </si>
  <si>
    <t>※給与所得の源泉徴収
　票に所得金額調整控
　除額が記載されてい
　る場合</t>
    <rPh sb="1" eb="3">
      <t>キュウヨ</t>
    </rPh>
    <rPh sb="3" eb="5">
      <t>ショトク</t>
    </rPh>
    <rPh sb="6" eb="8">
      <t>ゲンセン</t>
    </rPh>
    <rPh sb="8" eb="10">
      <t>チョウシュウ</t>
    </rPh>
    <rPh sb="12" eb="13">
      <t>ヒョウ</t>
    </rPh>
    <rPh sb="14" eb="16">
      <t>ショトク</t>
    </rPh>
    <rPh sb="16" eb="18">
      <t>キンガク</t>
    </rPh>
    <rPh sb="18" eb="20">
      <t>チョウセイ</t>
    </rPh>
    <rPh sb="20" eb="21">
      <t>ヒカエ</t>
    </rPh>
    <rPh sb="23" eb="24">
      <t>ジョ</t>
    </rPh>
    <rPh sb="24" eb="25">
      <t>ガク</t>
    </rPh>
    <rPh sb="26" eb="28">
      <t>キサイ</t>
    </rPh>
    <rPh sb="35" eb="37">
      <t>バアイ</t>
    </rPh>
    <phoneticPr fontId="2"/>
  </si>
  <si>
    <t>７割軽減</t>
    <rPh sb="1" eb="2">
      <t>ワリ</t>
    </rPh>
    <rPh sb="2" eb="4">
      <t>ケイゲン</t>
    </rPh>
    <phoneticPr fontId="2"/>
  </si>
  <si>
    <t>５割軽減</t>
    <rPh sb="1" eb="2">
      <t>ワリ</t>
    </rPh>
    <rPh sb="2" eb="4">
      <t>ケイゲン</t>
    </rPh>
    <phoneticPr fontId="2"/>
  </si>
  <si>
    <t>２割軽減</t>
    <rPh sb="1" eb="2">
      <t>ワリ</t>
    </rPh>
    <rPh sb="2" eb="4">
      <t>ケイゲン</t>
    </rPh>
    <phoneticPr fontId="2"/>
  </si>
  <si>
    <t>軽減判定所得</t>
    <rPh sb="0" eb="2">
      <t>ケイゲン</t>
    </rPh>
    <rPh sb="2" eb="4">
      <t>ハンテイ</t>
    </rPh>
    <rPh sb="4" eb="6">
      <t>ショトク</t>
    </rPh>
    <phoneticPr fontId="2"/>
  </si>
  <si>
    <t>擬主該当</t>
    <rPh sb="0" eb="1">
      <t>ギ</t>
    </rPh>
    <rPh sb="1" eb="2">
      <t>シュ</t>
    </rPh>
    <rPh sb="2" eb="4">
      <t>ガイトウ</t>
    </rPh>
    <phoneticPr fontId="2"/>
  </si>
  <si>
    <t>第１期（７月）</t>
    <rPh sb="0" eb="1">
      <t>ダイ</t>
    </rPh>
    <rPh sb="2" eb="3">
      <t>キ</t>
    </rPh>
    <rPh sb="5" eb="6">
      <t>ガツ</t>
    </rPh>
    <phoneticPr fontId="2"/>
  </si>
  <si>
    <t>第２期（８月）</t>
    <rPh sb="0" eb="1">
      <t>ダイ</t>
    </rPh>
    <rPh sb="2" eb="3">
      <t>キ</t>
    </rPh>
    <rPh sb="5" eb="6">
      <t>ガツ</t>
    </rPh>
    <phoneticPr fontId="2"/>
  </si>
  <si>
    <t>第３期（９月）</t>
    <rPh sb="0" eb="1">
      <t>ダイ</t>
    </rPh>
    <rPh sb="2" eb="3">
      <t>キ</t>
    </rPh>
    <rPh sb="5" eb="6">
      <t>ガツ</t>
    </rPh>
    <phoneticPr fontId="2"/>
  </si>
  <si>
    <t>第４期（10月）</t>
    <rPh sb="0" eb="1">
      <t>ダイ</t>
    </rPh>
    <rPh sb="2" eb="3">
      <t>キ</t>
    </rPh>
    <rPh sb="6" eb="7">
      <t>ガツ</t>
    </rPh>
    <phoneticPr fontId="2"/>
  </si>
  <si>
    <t>第５期（11月）</t>
    <rPh sb="0" eb="1">
      <t>ダイ</t>
    </rPh>
    <rPh sb="2" eb="3">
      <t>キ</t>
    </rPh>
    <rPh sb="6" eb="7">
      <t>ガツ</t>
    </rPh>
    <phoneticPr fontId="2"/>
  </si>
  <si>
    <t>第６期（12月）</t>
    <rPh sb="0" eb="1">
      <t>ダイ</t>
    </rPh>
    <rPh sb="2" eb="3">
      <t>キ</t>
    </rPh>
    <rPh sb="6" eb="7">
      <t>ガツ</t>
    </rPh>
    <phoneticPr fontId="2"/>
  </si>
  <si>
    <t>第７期（１月）</t>
    <rPh sb="0" eb="1">
      <t>ダイ</t>
    </rPh>
    <rPh sb="2" eb="3">
      <t>キ</t>
    </rPh>
    <rPh sb="5" eb="6">
      <t>ガツ</t>
    </rPh>
    <phoneticPr fontId="2"/>
  </si>
  <si>
    <t>第８期（２月）</t>
    <rPh sb="0" eb="1">
      <t>ダイ</t>
    </rPh>
    <rPh sb="2" eb="3">
      <t>キ</t>
    </rPh>
    <rPh sb="5" eb="6">
      <t>ガツ</t>
    </rPh>
    <phoneticPr fontId="2"/>
  </si>
  <si>
    <t>円</t>
    <rPh sb="0" eb="1">
      <t>エン</t>
    </rPh>
    <phoneticPr fontId="2"/>
  </si>
  <si>
    <t>未就学児減額</t>
    <rPh sb="0" eb="3">
      <t>ミシュウガク</t>
    </rPh>
    <rPh sb="4" eb="6">
      <t>ゲンガク</t>
    </rPh>
    <phoneticPr fontId="2"/>
  </si>
  <si>
    <t>特例対象被保険者（非自発的失業）による軽減には対応しておりません。</t>
    <rPh sb="0" eb="2">
      <t>トクレイ</t>
    </rPh>
    <rPh sb="2" eb="4">
      <t>タイショウ</t>
    </rPh>
    <rPh sb="4" eb="8">
      <t>ヒホケンシャ</t>
    </rPh>
    <rPh sb="9" eb="10">
      <t>ヒ</t>
    </rPh>
    <rPh sb="10" eb="13">
      <t>ジハツテキ</t>
    </rPh>
    <rPh sb="13" eb="15">
      <t>シツギョウ</t>
    </rPh>
    <rPh sb="19" eb="21">
      <t>ケイゲン</t>
    </rPh>
    <rPh sb="23" eb="25">
      <t>タイオウ</t>
    </rPh>
    <phoneticPr fontId="2"/>
  </si>
  <si>
    <t>円</t>
    <phoneticPr fontId="2"/>
  </si>
  <si>
    <r>
      <t>加入者全員が１年間（令和5年4月から令和6年3月まで）加入</t>
    </r>
    <r>
      <rPr>
        <sz val="11"/>
        <rFont val="HG丸ｺﾞｼｯｸM-PRO"/>
        <family val="3"/>
        <charset val="128"/>
      </rPr>
      <t>するものとして計算されます。</t>
    </r>
    <rPh sb="0" eb="3">
      <t>カニュウシャ</t>
    </rPh>
    <rPh sb="3" eb="5">
      <t>ゼンイン</t>
    </rPh>
    <rPh sb="7" eb="9">
      <t>ネンカン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レイ</t>
    </rPh>
    <rPh sb="19" eb="20">
      <t>ワ</t>
    </rPh>
    <rPh sb="21" eb="22">
      <t>ネン</t>
    </rPh>
    <rPh sb="23" eb="24">
      <t>ガツ</t>
    </rPh>
    <rPh sb="27" eb="29">
      <t>カニュウ</t>
    </rPh>
    <rPh sb="36" eb="38">
      <t>ケイサン</t>
    </rPh>
    <phoneticPr fontId="2"/>
  </si>
  <si>
    <t>令和４年中に分離課税所得や、専従者控除など特殊な事例がある場合は、正しく計算できません。</t>
    <rPh sb="0" eb="2">
      <t>レイワ</t>
    </rPh>
    <rPh sb="3" eb="4">
      <t>ネン</t>
    </rPh>
    <rPh sb="4" eb="5">
      <t>チュウ</t>
    </rPh>
    <rPh sb="6" eb="8">
      <t>ブンリ</t>
    </rPh>
    <rPh sb="8" eb="10">
      <t>カゼイ</t>
    </rPh>
    <rPh sb="10" eb="12">
      <t>ショトク</t>
    </rPh>
    <rPh sb="14" eb="17">
      <t>センジュウシャ</t>
    </rPh>
    <rPh sb="17" eb="19">
      <t>コウジョ</t>
    </rPh>
    <rPh sb="21" eb="23">
      <t>トクシュ</t>
    </rPh>
    <rPh sb="24" eb="26">
      <t>ジレイ</t>
    </rPh>
    <rPh sb="29" eb="31">
      <t>バアイ</t>
    </rPh>
    <rPh sb="33" eb="34">
      <t>タダ</t>
    </rPh>
    <rPh sb="36" eb="38">
      <t>ケイサン</t>
    </rPh>
    <phoneticPr fontId="2"/>
  </si>
  <si>
    <r>
      <t>国民健康保険税の最高限度額は、104</t>
    </r>
    <r>
      <rPr>
        <b/>
        <sz val="11"/>
        <rFont val="HG丸ｺﾞｼｯｸM-PRO"/>
        <family val="3"/>
        <charset val="128"/>
      </rPr>
      <t>万円</t>
    </r>
    <r>
      <rPr>
        <sz val="11"/>
        <rFont val="HG丸ｺﾞｼｯｸM-PRO"/>
        <family val="3"/>
        <charset val="128"/>
      </rPr>
      <t>（医療分65万円＋後期高齢者支援分22万円＋介護分17万円）です。</t>
    </r>
    <rPh sb="0" eb="2">
      <t>コクミン</t>
    </rPh>
    <rPh sb="2" eb="4">
      <t>ケンコウ</t>
    </rPh>
    <rPh sb="4" eb="6">
      <t>ホケン</t>
    </rPh>
    <rPh sb="6" eb="7">
      <t>ゼイ</t>
    </rPh>
    <rPh sb="7" eb="8">
      <t>コクゼイ</t>
    </rPh>
    <rPh sb="8" eb="10">
      <t>サイコウ</t>
    </rPh>
    <rPh sb="10" eb="12">
      <t>ゲンド</t>
    </rPh>
    <rPh sb="12" eb="13">
      <t>ガク</t>
    </rPh>
    <rPh sb="18" eb="20">
      <t>マンエン</t>
    </rPh>
    <rPh sb="21" eb="23">
      <t>イリョウ</t>
    </rPh>
    <rPh sb="23" eb="24">
      <t>ブン</t>
    </rPh>
    <rPh sb="26" eb="28">
      <t>マンエン</t>
    </rPh>
    <rPh sb="29" eb="31">
      <t>コウキ</t>
    </rPh>
    <rPh sb="31" eb="34">
      <t>コウレイシャ</t>
    </rPh>
    <rPh sb="34" eb="36">
      <t>シエン</t>
    </rPh>
    <rPh sb="36" eb="37">
      <t>ブン</t>
    </rPh>
    <rPh sb="39" eb="41">
      <t>マンエン</t>
    </rPh>
    <phoneticPr fontId="2"/>
  </si>
  <si>
    <t>※加入者の収入額（所得額）・年齢を入力してください。年齢は、令和5年1月1日現在の年齢を入力してください。</t>
    <rPh sb="1" eb="4">
      <t>カニュウシャ</t>
    </rPh>
    <rPh sb="5" eb="7">
      <t>シュウニュウ</t>
    </rPh>
    <rPh sb="7" eb="8">
      <t>ガク</t>
    </rPh>
    <rPh sb="9" eb="11">
      <t>ショトク</t>
    </rPh>
    <rPh sb="11" eb="12">
      <t>ガク</t>
    </rPh>
    <rPh sb="14" eb="16">
      <t>ネンレイ</t>
    </rPh>
    <rPh sb="17" eb="19">
      <t>ニュウリョク</t>
    </rPh>
    <rPh sb="26" eb="28">
      <t>ネンレイ</t>
    </rPh>
    <rPh sb="30" eb="32">
      <t>レイワ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ゲンザイ</t>
    </rPh>
    <rPh sb="41" eb="43">
      <t>ネンレイ</t>
    </rPh>
    <rPh sb="44" eb="46">
      <t>ニュウリョク</t>
    </rPh>
    <phoneticPr fontId="2"/>
  </si>
  <si>
    <t>国民健康保険に加入した場合の令和５年度の税額（概算）が計算できます。</t>
    <rPh sb="0" eb="2">
      <t>コクミン</t>
    </rPh>
    <rPh sb="2" eb="4">
      <t>ケンコウ</t>
    </rPh>
    <rPh sb="4" eb="6">
      <t>ホケン</t>
    </rPh>
    <rPh sb="7" eb="9">
      <t>カニュウ</t>
    </rPh>
    <rPh sb="11" eb="13">
      <t>バアイ</t>
    </rPh>
    <rPh sb="14" eb="15">
      <t>レイ</t>
    </rPh>
    <rPh sb="15" eb="16">
      <t>ワ</t>
    </rPh>
    <rPh sb="17" eb="19">
      <t>ネンド</t>
    </rPh>
    <rPh sb="18" eb="19">
      <t>ド</t>
    </rPh>
    <rPh sb="19" eb="21">
      <t>ヘイネンド</t>
    </rPh>
    <rPh sb="20" eb="22">
      <t>ゼイガク</t>
    </rPh>
    <rPh sb="23" eb="25">
      <t>ガイサン</t>
    </rPh>
    <rPh sb="27" eb="29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</si>
</sst>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color indexed="6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6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HG丸ｺﾞｼｯｸM-PRO"/>
      <family val="3"/>
      <charset val="128"/>
    </font>
    <font>
      <b/>
      <sz val="22"/>
      <color rgb="FFFF000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176" fontId="0" fillId="0" borderId="1" xfId="0" applyNumberFormat="1" applyBorder="1"/>
    <xf numFmtId="176" fontId="0" fillId="0" borderId="0" xfId="0" applyNumberFormat="1" applyBorder="1"/>
    <xf numFmtId="0" fontId="0" fillId="0" borderId="0" xfId="0" applyProtection="1"/>
    <xf numFmtId="38" fontId="0" fillId="0" borderId="3" xfId="2" applyFont="1" applyBorder="1" applyAlignment="1">
      <alignment horizontal="right" vertical="center"/>
    </xf>
    <xf numFmtId="38" fontId="0" fillId="0" borderId="2" xfId="2" applyFont="1" applyBorder="1" applyAlignment="1">
      <alignment horizontal="right" vertical="center"/>
    </xf>
    <xf numFmtId="38" fontId="0" fillId="0" borderId="4" xfId="2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38" fontId="0" fillId="0" borderId="0" xfId="2" applyFont="1"/>
    <xf numFmtId="0" fontId="4" fillId="0" borderId="0" xfId="0" applyFont="1"/>
    <xf numFmtId="0" fontId="4" fillId="0" borderId="0" xfId="0" applyFont="1" applyAlignment="1">
      <alignment horizontal="right"/>
    </xf>
    <xf numFmtId="38" fontId="0" fillId="0" borderId="0" xfId="2" applyFont="1" applyBorder="1"/>
    <xf numFmtId="0" fontId="0" fillId="0" borderId="0" xfId="0" applyBorder="1"/>
    <xf numFmtId="0" fontId="4" fillId="0" borderId="1" xfId="0" applyFont="1" applyBorder="1" applyAlignment="1">
      <alignment horizontal="right"/>
    </xf>
    <xf numFmtId="38" fontId="0" fillId="0" borderId="1" xfId="2" applyFont="1" applyBorder="1"/>
    <xf numFmtId="0" fontId="4" fillId="2" borderId="1" xfId="0" applyFont="1" applyFill="1" applyBorder="1" applyAlignment="1">
      <alignment horizontal="right" shrinkToFit="1"/>
    </xf>
    <xf numFmtId="38" fontId="1" fillId="2" borderId="1" xfId="2" applyFont="1" applyFill="1" applyBorder="1"/>
    <xf numFmtId="38" fontId="0" fillId="0" borderId="0" xfId="2" applyFont="1" applyFill="1" applyBorder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38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8" fontId="0" fillId="0" borderId="0" xfId="0" applyNumberFormat="1" applyBorder="1"/>
    <xf numFmtId="38" fontId="0" fillId="0" borderId="10" xfId="2" applyFont="1" applyBorder="1"/>
    <xf numFmtId="0" fontId="0" fillId="0" borderId="11" xfId="0" applyBorder="1"/>
    <xf numFmtId="0" fontId="0" fillId="0" borderId="12" xfId="0" applyBorder="1"/>
    <xf numFmtId="38" fontId="0" fillId="0" borderId="12" xfId="2" applyFont="1" applyBorder="1"/>
    <xf numFmtId="38" fontId="0" fillId="0" borderId="13" xfId="2" applyFont="1" applyBorder="1"/>
    <xf numFmtId="0" fontId="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14" xfId="0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horizontal="center" vertical="center"/>
    </xf>
    <xf numFmtId="0" fontId="0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8" fillId="0" borderId="5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9" fillId="5" borderId="0" xfId="0" applyFont="1" applyFill="1"/>
    <xf numFmtId="0" fontId="9" fillId="5" borderId="0" xfId="0" applyFont="1" applyFill="1" applyProtection="1"/>
    <xf numFmtId="0" fontId="13" fillId="5" borderId="0" xfId="0" applyFont="1" applyFill="1" applyProtection="1"/>
    <xf numFmtId="0" fontId="9" fillId="5" borderId="0" xfId="0" applyFont="1" applyFill="1" applyBorder="1" applyProtection="1"/>
    <xf numFmtId="0" fontId="24" fillId="5" borderId="0" xfId="0" applyFont="1" applyFill="1" applyProtection="1"/>
    <xf numFmtId="0" fontId="14" fillId="5" borderId="0" xfId="0" applyFont="1" applyFill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top"/>
    </xf>
    <xf numFmtId="0" fontId="9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38" fontId="9" fillId="0" borderId="19" xfId="2" applyFont="1" applyBorder="1" applyAlignment="1" applyProtection="1">
      <alignment horizontal="center" vertical="center"/>
    </xf>
    <xf numFmtId="177" fontId="9" fillId="0" borderId="19" xfId="2" applyNumberFormat="1" applyFont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horizontal="center" vertical="center"/>
    </xf>
    <xf numFmtId="0" fontId="9" fillId="7" borderId="19" xfId="0" applyFont="1" applyFill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Protection="1"/>
    <xf numFmtId="0" fontId="9" fillId="0" borderId="0" xfId="0" applyFont="1" applyAlignment="1">
      <alignment vertical="center"/>
    </xf>
    <xf numFmtId="176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38" fontId="0" fillId="0" borderId="0" xfId="2" applyNumberFormat="1" applyFont="1" applyBorder="1"/>
    <xf numFmtId="176" fontId="9" fillId="0" borderId="0" xfId="0" applyNumberFormat="1" applyFont="1" applyAlignment="1"/>
    <xf numFmtId="2" fontId="4" fillId="0" borderId="0" xfId="0" applyNumberFormat="1" applyFont="1" applyAlignment="1">
      <alignment horizontal="right"/>
    </xf>
    <xf numFmtId="0" fontId="5" fillId="0" borderId="0" xfId="0" applyFont="1" applyAlignment="1" applyProtection="1">
      <alignment wrapText="1"/>
    </xf>
    <xf numFmtId="38" fontId="0" fillId="0" borderId="0" xfId="0" applyNumberFormat="1" applyAlignment="1">
      <alignment vertical="center"/>
    </xf>
    <xf numFmtId="0" fontId="9" fillId="0" borderId="54" xfId="0" applyFont="1" applyBorder="1" applyAlignment="1" applyProtection="1">
      <alignment vertical="center"/>
    </xf>
    <xf numFmtId="0" fontId="9" fillId="0" borderId="55" xfId="0" applyFont="1" applyBorder="1" applyAlignment="1" applyProtection="1">
      <alignment vertical="center"/>
    </xf>
    <xf numFmtId="38" fontId="8" fillId="2" borderId="0" xfId="2" applyFont="1" applyFill="1" applyBorder="1"/>
    <xf numFmtId="0" fontId="0" fillId="2" borderId="0" xfId="0" applyFill="1"/>
    <xf numFmtId="38" fontId="9" fillId="0" borderId="0" xfId="0" applyNumberFormat="1" applyFont="1" applyProtection="1"/>
    <xf numFmtId="0" fontId="9" fillId="0" borderId="0" xfId="0" applyFont="1" applyAlignment="1" applyProtection="1">
      <alignment vertical="center" wrapText="1"/>
    </xf>
    <xf numFmtId="0" fontId="13" fillId="0" borderId="5" xfId="0" applyFont="1" applyBorder="1" applyAlignment="1" applyProtection="1">
      <alignment horizontal="center"/>
    </xf>
    <xf numFmtId="0" fontId="9" fillId="0" borderId="61" xfId="0" applyFont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 vertical="center"/>
    </xf>
    <xf numFmtId="176" fontId="15" fillId="0" borderId="21" xfId="0" applyNumberFormat="1" applyFont="1" applyBorder="1" applyAlignment="1" applyProtection="1">
      <alignment horizontal="right" vertical="center"/>
    </xf>
    <xf numFmtId="176" fontId="15" fillId="0" borderId="22" xfId="0" applyNumberFormat="1" applyFont="1" applyBorder="1" applyAlignment="1" applyProtection="1">
      <alignment horizontal="right" vertical="center"/>
    </xf>
    <xf numFmtId="176" fontId="15" fillId="0" borderId="23" xfId="0" applyNumberFormat="1" applyFont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center" vertical="center"/>
    </xf>
    <xf numFmtId="176" fontId="22" fillId="0" borderId="57" xfId="0" applyNumberFormat="1" applyFont="1" applyBorder="1" applyAlignment="1" applyProtection="1">
      <alignment vertical="center"/>
    </xf>
    <xf numFmtId="176" fontId="22" fillId="0" borderId="58" xfId="0" applyNumberFormat="1" applyFont="1" applyBorder="1" applyAlignment="1" applyProtection="1">
      <alignment vertical="center"/>
    </xf>
    <xf numFmtId="176" fontId="9" fillId="0" borderId="59" xfId="0" applyNumberFormat="1" applyFont="1" applyBorder="1" applyAlignment="1" applyProtection="1">
      <alignment vertical="center"/>
    </xf>
    <xf numFmtId="176" fontId="9" fillId="0" borderId="60" xfId="0" applyNumberFormat="1" applyFont="1" applyBorder="1" applyAlignment="1" applyProtection="1">
      <alignment vertical="center"/>
    </xf>
    <xf numFmtId="0" fontId="9" fillId="0" borderId="45" xfId="0" applyFont="1" applyBorder="1" applyAlignment="1" applyProtection="1">
      <alignment horizontal="center" vertical="center" shrinkToFit="1"/>
    </xf>
    <xf numFmtId="0" fontId="9" fillId="0" borderId="46" xfId="0" applyFont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 shrinkToFit="1"/>
    </xf>
    <xf numFmtId="38" fontId="15" fillId="0" borderId="54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176" fontId="9" fillId="6" borderId="23" xfId="0" applyNumberFormat="1" applyFont="1" applyFill="1" applyBorder="1" applyAlignment="1" applyProtection="1">
      <alignment horizontal="right" vertical="center"/>
    </xf>
    <xf numFmtId="176" fontId="9" fillId="6" borderId="19" xfId="0" applyNumberFormat="1" applyFont="1" applyFill="1" applyBorder="1" applyAlignment="1" applyProtection="1">
      <alignment horizontal="right" vertical="center"/>
    </xf>
    <xf numFmtId="176" fontId="9" fillId="5" borderId="21" xfId="0" applyNumberFormat="1" applyFont="1" applyFill="1" applyBorder="1" applyAlignment="1" applyProtection="1">
      <alignment horizontal="right" vertical="center"/>
    </xf>
    <xf numFmtId="176" fontId="9" fillId="5" borderId="22" xfId="0" applyNumberFormat="1" applyFont="1" applyFill="1" applyBorder="1" applyAlignment="1" applyProtection="1">
      <alignment horizontal="right" vertical="center"/>
    </xf>
    <xf numFmtId="176" fontId="9" fillId="5" borderId="23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9" fillId="0" borderId="19" xfId="0" applyFont="1" applyBorder="1" applyAlignment="1" applyProtection="1">
      <alignment horizontal="center" vertical="center"/>
    </xf>
    <xf numFmtId="0" fontId="15" fillId="0" borderId="54" xfId="0" applyFont="1" applyBorder="1" applyAlignment="1">
      <alignment horizontal="left" vertical="center"/>
    </xf>
    <xf numFmtId="38" fontId="15" fillId="6" borderId="24" xfId="2" applyFont="1" applyFill="1" applyBorder="1" applyAlignment="1" applyProtection="1">
      <alignment horizontal="right" vertical="center"/>
      <protection locked="0"/>
    </xf>
    <xf numFmtId="38" fontId="15" fillId="6" borderId="24" xfId="2" applyFont="1" applyFill="1" applyBorder="1" applyAlignment="1" applyProtection="1">
      <protection locked="0"/>
    </xf>
    <xf numFmtId="38" fontId="15" fillId="6" borderId="25" xfId="2" applyFont="1" applyFill="1" applyBorder="1" applyAlignment="1" applyProtection="1">
      <protection locked="0"/>
    </xf>
    <xf numFmtId="38" fontId="9" fillId="0" borderId="36" xfId="2" applyFont="1" applyBorder="1" applyAlignment="1" applyProtection="1">
      <alignment horizontal="center" vertical="center"/>
    </xf>
    <xf numFmtId="38" fontId="9" fillId="0" borderId="25" xfId="2" applyFont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9" fillId="0" borderId="0" xfId="0" applyFont="1" applyAlignment="1" applyProtection="1">
      <alignment horizontal="right"/>
    </xf>
    <xf numFmtId="176" fontId="9" fillId="0" borderId="16" xfId="0" applyNumberFormat="1" applyFont="1" applyBorder="1" applyAlignment="1" applyProtection="1">
      <alignment horizontal="right" vertical="center"/>
    </xf>
    <xf numFmtId="176" fontId="15" fillId="0" borderId="19" xfId="0" applyNumberFormat="1" applyFont="1" applyBorder="1" applyAlignment="1" applyProtection="1">
      <alignment horizontal="right" vertical="center"/>
    </xf>
    <xf numFmtId="0" fontId="15" fillId="0" borderId="55" xfId="0" applyFont="1" applyBorder="1" applyAlignment="1">
      <alignment horizontal="left" vertical="center"/>
    </xf>
    <xf numFmtId="176" fontId="15" fillId="0" borderId="21" xfId="2" applyNumberFormat="1" applyFont="1" applyBorder="1" applyAlignment="1" applyProtection="1">
      <alignment horizontal="right" vertical="center"/>
    </xf>
    <xf numFmtId="176" fontId="15" fillId="0" borderId="22" xfId="2" applyNumberFormat="1" applyFont="1" applyBorder="1" applyAlignment="1" applyProtection="1">
      <alignment horizontal="right" vertical="center"/>
    </xf>
    <xf numFmtId="176" fontId="15" fillId="0" borderId="23" xfId="2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38" fontId="9" fillId="0" borderId="15" xfId="2" applyFont="1" applyFill="1" applyBorder="1" applyAlignment="1" applyProtection="1">
      <alignment horizontal="center" vertical="center"/>
    </xf>
    <xf numFmtId="38" fontId="9" fillId="0" borderId="0" xfId="2" applyFont="1" applyFill="1" applyBorder="1" applyAlignment="1" applyProtection="1">
      <alignment horizontal="center" vertical="center"/>
    </xf>
    <xf numFmtId="38" fontId="9" fillId="0" borderId="32" xfId="2" applyFont="1" applyFill="1" applyBorder="1" applyAlignment="1" applyProtection="1">
      <alignment horizontal="center" vertical="center"/>
    </xf>
    <xf numFmtId="38" fontId="9" fillId="0" borderId="33" xfId="2" applyFont="1" applyFill="1" applyBorder="1" applyAlignment="1" applyProtection="1">
      <alignment horizontal="center" vertical="center"/>
    </xf>
    <xf numFmtId="38" fontId="15" fillId="0" borderId="55" xfId="0" applyNumberFormat="1" applyFont="1" applyBorder="1" applyAlignment="1" applyProtection="1">
      <alignment horizontal="center" vertical="center"/>
    </xf>
    <xf numFmtId="38" fontId="15" fillId="6" borderId="44" xfId="2" applyFont="1" applyFill="1" applyBorder="1" applyAlignment="1" applyProtection="1">
      <protection locked="0"/>
    </xf>
    <xf numFmtId="176" fontId="15" fillId="0" borderId="40" xfId="0" applyNumberFormat="1" applyFont="1" applyBorder="1" applyAlignment="1" applyProtection="1">
      <alignment horizontal="right" vertical="center"/>
    </xf>
    <xf numFmtId="38" fontId="9" fillId="0" borderId="24" xfId="2" applyFont="1" applyBorder="1" applyAlignment="1" applyProtection="1">
      <alignment horizontal="center" vertical="center"/>
    </xf>
    <xf numFmtId="38" fontId="9" fillId="0" borderId="44" xfId="2" applyFont="1" applyBorder="1" applyAlignment="1" applyProtection="1">
      <alignment horizontal="center" vertical="center"/>
    </xf>
    <xf numFmtId="38" fontId="0" fillId="0" borderId="48" xfId="2" applyFont="1" applyBorder="1" applyAlignment="1">
      <alignment horizontal="center" vertical="center"/>
    </xf>
    <xf numFmtId="38" fontId="0" fillId="0" borderId="49" xfId="2" applyFont="1" applyBorder="1" applyAlignment="1">
      <alignment horizontal="center" vertical="center"/>
    </xf>
    <xf numFmtId="38" fontId="0" fillId="0" borderId="50" xfId="2" applyFont="1" applyBorder="1" applyAlignment="1">
      <alignment horizontal="center" vertical="center"/>
    </xf>
    <xf numFmtId="38" fontId="0" fillId="0" borderId="51" xfId="2" applyFont="1" applyBorder="1" applyAlignment="1">
      <alignment horizontal="center" vertical="center"/>
    </xf>
    <xf numFmtId="38" fontId="0" fillId="0" borderId="52" xfId="2" applyFont="1" applyBorder="1" applyAlignment="1">
      <alignment horizontal="center" vertical="center"/>
    </xf>
    <xf numFmtId="38" fontId="0" fillId="0" borderId="53" xfId="2" applyFont="1" applyBorder="1" applyAlignment="1">
      <alignment horizontal="center" vertical="center"/>
    </xf>
    <xf numFmtId="176" fontId="9" fillId="7" borderId="19" xfId="0" applyNumberFormat="1" applyFont="1" applyFill="1" applyBorder="1" applyAlignment="1" applyProtection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6" borderId="23" xfId="0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 shrinkToFit="1"/>
    </xf>
    <xf numFmtId="0" fontId="15" fillId="5" borderId="22" xfId="0" applyFont="1" applyFill="1" applyBorder="1" applyAlignment="1" applyProtection="1">
      <alignment horizontal="center" vertical="center" shrinkToFit="1"/>
    </xf>
    <xf numFmtId="0" fontId="15" fillId="5" borderId="23" xfId="0" applyFont="1" applyFill="1" applyBorder="1" applyAlignment="1" applyProtection="1">
      <alignment horizontal="center" vertical="center" shrinkToFit="1"/>
    </xf>
    <xf numFmtId="0" fontId="0" fillId="0" borderId="5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8" fontId="0" fillId="0" borderId="14" xfId="2" applyFont="1" applyBorder="1" applyAlignment="1">
      <alignment horizontal="right" vertical="center"/>
    </xf>
    <xf numFmtId="38" fontId="0" fillId="0" borderId="4" xfId="2" applyFont="1" applyBorder="1" applyAlignment="1">
      <alignment horizontal="right" vertical="center"/>
    </xf>
    <xf numFmtId="38" fontId="9" fillId="0" borderId="26" xfId="2" applyFont="1" applyFill="1" applyBorder="1" applyAlignment="1" applyProtection="1">
      <alignment horizontal="center" vertical="center"/>
    </xf>
    <xf numFmtId="38" fontId="9" fillId="0" borderId="16" xfId="2" applyFont="1" applyFill="1" applyBorder="1" applyAlignment="1" applyProtection="1">
      <alignment horizontal="center" vertical="center"/>
    </xf>
    <xf numFmtId="38" fontId="9" fillId="0" borderId="29" xfId="2" applyFont="1" applyFill="1" applyBorder="1" applyAlignment="1" applyProtection="1">
      <alignment horizontal="center" vertical="center"/>
    </xf>
    <xf numFmtId="38" fontId="9" fillId="0" borderId="30" xfId="2" applyFont="1" applyFill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38" fontId="9" fillId="0" borderId="38" xfId="2" applyFont="1" applyFill="1" applyBorder="1" applyAlignment="1" applyProtection="1">
      <alignment horizontal="center" vertical="center"/>
    </xf>
    <xf numFmtId="38" fontId="9" fillId="0" borderId="39" xfId="2" applyFont="1" applyFill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38" fontId="0" fillId="0" borderId="2" xfId="2" applyFont="1" applyBorder="1" applyAlignment="1">
      <alignment horizontal="right" vertical="center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15" fillId="8" borderId="36" xfId="0" applyFont="1" applyFill="1" applyBorder="1" applyAlignment="1" applyProtection="1">
      <alignment horizontal="center" vertical="center"/>
      <protection locked="0"/>
    </xf>
    <xf numFmtId="0" fontId="15" fillId="8" borderId="25" xfId="0" applyFont="1" applyFill="1" applyBorder="1" applyAlignment="1" applyProtection="1">
      <alignment horizontal="center" vertical="center"/>
      <protection locked="0"/>
    </xf>
    <xf numFmtId="38" fontId="15" fillId="8" borderId="36" xfId="2" applyFont="1" applyFill="1" applyBorder="1" applyAlignment="1" applyProtection="1">
      <alignment horizontal="right" vertical="center"/>
      <protection locked="0"/>
    </xf>
    <xf numFmtId="38" fontId="15" fillId="8" borderId="36" xfId="2" applyFont="1" applyFill="1" applyBorder="1" applyAlignment="1" applyProtection="1">
      <protection locked="0"/>
    </xf>
    <xf numFmtId="38" fontId="15" fillId="8" borderId="25" xfId="2" applyFont="1" applyFill="1" applyBorder="1" applyAlignment="1" applyProtection="1">
      <protection locked="0"/>
    </xf>
    <xf numFmtId="38" fontId="15" fillId="8" borderId="38" xfId="2" applyFont="1" applyFill="1" applyBorder="1" applyAlignment="1" applyProtection="1">
      <alignment horizontal="right" vertical="center"/>
      <protection locked="0"/>
    </xf>
    <xf numFmtId="38" fontId="15" fillId="8" borderId="39" xfId="2" applyFont="1" applyFill="1" applyBorder="1" applyAlignment="1" applyProtection="1">
      <alignment horizontal="right" vertical="center"/>
      <protection locked="0"/>
    </xf>
    <xf numFmtId="38" fontId="15" fillId="8" borderId="35" xfId="2" applyFont="1" applyFill="1" applyBorder="1" applyAlignment="1" applyProtection="1">
      <alignment horizontal="right" vertical="center"/>
      <protection locked="0"/>
    </xf>
    <xf numFmtId="38" fontId="15" fillId="8" borderId="32" xfId="2" applyFont="1" applyFill="1" applyBorder="1" applyAlignment="1" applyProtection="1">
      <alignment horizontal="right" vertical="center"/>
      <protection locked="0"/>
    </xf>
    <xf numFmtId="38" fontId="15" fillId="8" borderId="33" xfId="2" applyFont="1" applyFill="1" applyBorder="1" applyAlignment="1" applyProtection="1">
      <alignment horizontal="right" vertical="center"/>
      <protection locked="0"/>
    </xf>
    <xf numFmtId="38" fontId="15" fillId="8" borderId="34" xfId="2" applyFont="1" applyFill="1" applyBorder="1" applyAlignment="1" applyProtection="1">
      <alignment horizontal="right" vertical="center"/>
      <protection locked="0"/>
    </xf>
    <xf numFmtId="38" fontId="15" fillId="8" borderId="29" xfId="2" applyFont="1" applyFill="1" applyBorder="1" applyAlignment="1" applyProtection="1">
      <alignment horizontal="right" vertical="center"/>
      <protection locked="0"/>
    </xf>
    <xf numFmtId="38" fontId="15" fillId="8" borderId="30" xfId="2" applyFont="1" applyFill="1" applyBorder="1" applyAlignment="1" applyProtection="1">
      <alignment horizontal="right" vertical="center"/>
      <protection locked="0"/>
    </xf>
    <xf numFmtId="38" fontId="15" fillId="8" borderId="31" xfId="2" applyFont="1" applyFill="1" applyBorder="1" applyAlignment="1" applyProtection="1">
      <alignment horizontal="right" vertical="center"/>
      <protection locked="0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 shrinkToFit="1"/>
    </xf>
    <xf numFmtId="0" fontId="13" fillId="0" borderId="16" xfId="0" applyFont="1" applyFill="1" applyBorder="1" applyAlignment="1" applyProtection="1">
      <alignment horizontal="center" vertical="center" shrinkToFit="1"/>
    </xf>
    <xf numFmtId="0" fontId="13" fillId="0" borderId="27" xfId="0" applyFont="1" applyFill="1" applyBorder="1" applyAlignment="1" applyProtection="1">
      <alignment horizontal="center" vertical="center" shrinkToFit="1"/>
    </xf>
    <xf numFmtId="0" fontId="15" fillId="0" borderId="32" xfId="0" applyFont="1" applyFill="1" applyBorder="1" applyAlignment="1" applyProtection="1">
      <alignment horizontal="center" vertical="center" wrapText="1"/>
    </xf>
    <xf numFmtId="0" fontId="16" fillId="0" borderId="33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38" fontId="15" fillId="6" borderId="15" xfId="2" applyFont="1" applyFill="1" applyBorder="1" applyAlignment="1" applyProtection="1">
      <alignment horizontal="right" vertical="center"/>
      <protection locked="0"/>
    </xf>
    <xf numFmtId="38" fontId="15" fillId="6" borderId="0" xfId="2" applyFont="1" applyFill="1" applyBorder="1" applyAlignment="1" applyProtection="1">
      <alignment horizontal="right" vertical="center"/>
      <protection locked="0"/>
    </xf>
    <xf numFmtId="38" fontId="15" fillId="6" borderId="28" xfId="2" applyFont="1" applyFill="1" applyBorder="1" applyAlignment="1" applyProtection="1">
      <alignment horizontal="right" vertical="center"/>
      <protection locked="0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15" fillId="6" borderId="24" xfId="0" applyFont="1" applyFill="1" applyBorder="1" applyAlignment="1" applyProtection="1">
      <alignment horizontal="center" vertical="center"/>
      <protection locked="0"/>
    </xf>
    <xf numFmtId="0" fontId="15" fillId="6" borderId="25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</xf>
    <xf numFmtId="0" fontId="9" fillId="0" borderId="26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28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38" fontId="9" fillId="0" borderId="37" xfId="2" applyFont="1" applyBorder="1" applyAlignment="1" applyProtection="1">
      <alignment horizontal="center" vertical="center"/>
    </xf>
    <xf numFmtId="0" fontId="15" fillId="8" borderId="37" xfId="0" applyFont="1" applyFill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vertical="top" wrapText="1"/>
    </xf>
    <xf numFmtId="0" fontId="19" fillId="0" borderId="28" xfId="0" applyFont="1" applyBorder="1" applyAlignment="1" applyProtection="1">
      <alignment vertical="top" wrapText="1"/>
    </xf>
    <xf numFmtId="0" fontId="19" fillId="0" borderId="32" xfId="0" applyFont="1" applyBorder="1" applyAlignment="1" applyProtection="1">
      <alignment vertical="top" wrapText="1"/>
    </xf>
    <xf numFmtId="0" fontId="19" fillId="0" borderId="33" xfId="0" applyFont="1" applyBorder="1" applyAlignment="1" applyProtection="1">
      <alignment vertical="top" wrapText="1"/>
    </xf>
    <xf numFmtId="0" fontId="19" fillId="0" borderId="34" xfId="0" applyFont="1" applyBorder="1" applyAlignment="1" applyProtection="1">
      <alignment vertical="top" wrapText="1"/>
    </xf>
    <xf numFmtId="0" fontId="17" fillId="0" borderId="15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17" fillId="0" borderId="28" xfId="0" applyFont="1" applyBorder="1" applyAlignment="1" applyProtection="1">
      <alignment vertical="top" wrapText="1"/>
    </xf>
    <xf numFmtId="0" fontId="17" fillId="0" borderId="32" xfId="0" applyFont="1" applyBorder="1" applyAlignment="1" applyProtection="1">
      <alignment vertical="top" wrapText="1"/>
    </xf>
    <xf numFmtId="0" fontId="17" fillId="0" borderId="33" xfId="0" applyFont="1" applyBorder="1" applyAlignment="1" applyProtection="1">
      <alignment vertical="top" wrapText="1"/>
    </xf>
    <xf numFmtId="0" fontId="17" fillId="0" borderId="34" xfId="0" applyFont="1" applyBorder="1" applyAlignment="1" applyProtection="1">
      <alignment vertical="top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38" fontId="15" fillId="8" borderId="26" xfId="2" applyFont="1" applyFill="1" applyBorder="1" applyAlignment="1" applyProtection="1">
      <alignment horizontal="right" vertical="center"/>
      <protection locked="0"/>
    </xf>
    <xf numFmtId="38" fontId="15" fillId="8" borderId="16" xfId="2" applyFont="1" applyFill="1" applyBorder="1" applyAlignment="1" applyProtection="1">
      <alignment horizontal="right" vertical="center"/>
      <protection locked="0"/>
    </xf>
    <xf numFmtId="38" fontId="15" fillId="8" borderId="27" xfId="2" applyFont="1" applyFill="1" applyBorder="1" applyAlignment="1" applyProtection="1">
      <alignment horizontal="right" vertical="center"/>
      <protection locked="0"/>
    </xf>
    <xf numFmtId="0" fontId="15" fillId="8" borderId="24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right" vertical="center"/>
    </xf>
    <xf numFmtId="38" fontId="9" fillId="0" borderId="17" xfId="0" applyNumberFormat="1" applyFont="1" applyBorder="1" applyAlignment="1" applyProtection="1">
      <alignment horizontal="right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38" fontId="15" fillId="8" borderId="37" xfId="2" applyFont="1" applyFill="1" applyBorder="1" applyAlignment="1" applyProtection="1">
      <alignment horizontal="right" vertical="center"/>
      <protection locked="0"/>
    </xf>
    <xf numFmtId="38" fontId="15" fillId="8" borderId="37" xfId="2" applyFont="1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38" fontId="15" fillId="8" borderId="24" xfId="2" applyFont="1" applyFill="1" applyBorder="1" applyAlignment="1" applyProtection="1">
      <alignment horizontal="right" vertical="center"/>
      <protection locked="0"/>
    </xf>
    <xf numFmtId="38" fontId="15" fillId="8" borderId="24" xfId="2" applyFont="1" applyFill="1" applyBorder="1" applyAlignment="1" applyProtection="1">
      <protection locked="0"/>
    </xf>
    <xf numFmtId="3" fontId="1" fillId="0" borderId="14" xfId="2" applyNumberFormat="1" applyFont="1" applyFill="1" applyBorder="1" applyAlignment="1">
      <alignment horizontal="right" vertical="center"/>
    </xf>
    <xf numFmtId="3" fontId="1" fillId="0" borderId="4" xfId="2" applyNumberFormat="1" applyFont="1" applyFill="1" applyBorder="1" applyAlignment="1">
      <alignment horizontal="right" vertical="center"/>
    </xf>
    <xf numFmtId="38" fontId="0" fillId="0" borderId="1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20" xfId="0" applyNumberForma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1" fillId="2" borderId="14" xfId="2" applyFont="1" applyFill="1" applyBorder="1" applyAlignment="1">
      <alignment horizontal="right" vertical="center"/>
    </xf>
    <xf numFmtId="38" fontId="1" fillId="2" borderId="4" xfId="2" applyFont="1" applyFill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D$26" noThreeD="1"/>
</file>

<file path=xl/ctrlProps/ctrlProp2.xml><?xml version="1.0" encoding="utf-8"?>
<formControlPr xmlns="http://schemas.microsoft.com/office/spreadsheetml/2009/9/main" objectType="CheckBox" fmlaLink="$AD$28" noThreeD="1"/>
</file>

<file path=xl/ctrlProps/ctrlProp3.xml><?xml version="1.0" encoding="utf-8"?>
<formControlPr xmlns="http://schemas.microsoft.com/office/spreadsheetml/2009/9/main" objectType="CheckBox" fmlaLink="$AD$30" noThreeD="1"/>
</file>

<file path=xl/ctrlProps/ctrlProp4.xml><?xml version="1.0" encoding="utf-8"?>
<formControlPr xmlns="http://schemas.microsoft.com/office/spreadsheetml/2009/9/main" objectType="CheckBox" fmlaLink="$AD$32" noThreeD="1"/>
</file>

<file path=xl/ctrlProps/ctrlProp5.xml><?xml version="1.0" encoding="utf-8"?>
<formControlPr xmlns="http://schemas.microsoft.com/office/spreadsheetml/2009/9/main" objectType="CheckBox" fmlaLink="$AD$34" noThreeD="1"/>
</file>

<file path=xl/ctrlProps/ctrlProp6.xml><?xml version="1.0" encoding="utf-8"?>
<formControlPr xmlns="http://schemas.microsoft.com/office/spreadsheetml/2009/9/main" objectType="CheckBox" fmlaLink="$AD$36" noThreeD="1"/>
</file>

<file path=xl/ctrlProps/ctrlProp7.xml><?xml version="1.0" encoding="utf-8"?>
<formControlPr xmlns="http://schemas.microsoft.com/office/spreadsheetml/2009/9/main" objectType="CheckBox" fmlaLink="$AD$38" noThreeD="1"/>
</file>

<file path=xl/ctrlProps/ctrlProp8.xml><?xml version="1.0" encoding="utf-8"?>
<formControlPr xmlns="http://schemas.microsoft.com/office/spreadsheetml/2009/9/main" objectType="CheckBox" fmlaLink="$AD$40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45</xdr:row>
      <xdr:rowOff>57150</xdr:rowOff>
    </xdr:from>
    <xdr:to>
      <xdr:col>15</xdr:col>
      <xdr:colOff>190500</xdr:colOff>
      <xdr:row>46</xdr:row>
      <xdr:rowOff>38100</xdr:rowOff>
    </xdr:to>
    <xdr:sp macro="" textlink="">
      <xdr:nvSpPr>
        <xdr:cNvPr id="7218" name="AutoShape 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rrowheads="1"/>
        </xdr:cNvSpPr>
      </xdr:nvSpPr>
      <xdr:spPr bwMode="auto">
        <a:xfrm>
          <a:off x="3933825" y="9820275"/>
          <a:ext cx="695325" cy="600075"/>
        </a:xfrm>
        <a:prstGeom prst="downArrow">
          <a:avLst>
            <a:gd name="adj1" fmla="val 50000"/>
            <a:gd name="adj2" fmla="val 35083"/>
          </a:avLst>
        </a:prstGeom>
        <a:solidFill>
          <a:srgbClr val="FAC09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28575</xdr:colOff>
      <xdr:row>54</xdr:row>
      <xdr:rowOff>9525</xdr:rowOff>
    </xdr:from>
    <xdr:to>
      <xdr:col>16</xdr:col>
      <xdr:colOff>9525</xdr:colOff>
      <xdr:row>56</xdr:row>
      <xdr:rowOff>57150</xdr:rowOff>
    </xdr:to>
    <xdr:sp macro="" textlink="">
      <xdr:nvSpPr>
        <xdr:cNvPr id="7219" name="AutoShape 7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rrowheads="1"/>
        </xdr:cNvSpPr>
      </xdr:nvSpPr>
      <xdr:spPr bwMode="auto">
        <a:xfrm>
          <a:off x="3990975" y="12630150"/>
          <a:ext cx="723900" cy="390525"/>
        </a:xfrm>
        <a:prstGeom prst="downArrow">
          <a:avLst>
            <a:gd name="adj1" fmla="val 50000"/>
            <a:gd name="adj2" fmla="val 26588"/>
          </a:avLst>
        </a:prstGeom>
        <a:solidFill>
          <a:srgbClr val="FAC09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104775</xdr:colOff>
      <xdr:row>60</xdr:row>
      <xdr:rowOff>1</xdr:rowOff>
    </xdr:from>
    <xdr:to>
      <xdr:col>25</xdr:col>
      <xdr:colOff>238125</xdr:colOff>
      <xdr:row>62</xdr:row>
      <xdr:rowOff>190500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5267325" y="14354176"/>
          <a:ext cx="1866900" cy="781049"/>
        </a:xfrm>
        <a:prstGeom prst="wedgeRoundRectCallout">
          <a:avLst>
            <a:gd name="adj1" fmla="val -53446"/>
            <a:gd name="adj2" fmla="val -1537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100"/>
            </a:lnSpc>
          </a:pP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100"/>
            </a:lnSpc>
          </a:pPr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五島市は年間の保険税額を</a:t>
          </a:r>
          <a:r>
            <a:rPr kumimoji="1" lang="ja-JP" altLang="en-US" sz="1200" b="0" i="0" u="none" strike="noStrike" baseline="0">
              <a:solidFill>
                <a:srgbClr val="C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８回</a:t>
          </a:r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に分けて納めていただきます。</a:t>
          </a:r>
        </a:p>
      </xdr:txBody>
    </xdr:sp>
    <xdr:clientData/>
  </xdr:twoCellAnchor>
  <xdr:twoCellAnchor>
    <xdr:from>
      <xdr:col>1</xdr:col>
      <xdr:colOff>133350</xdr:colOff>
      <xdr:row>24</xdr:row>
      <xdr:rowOff>28575</xdr:rowOff>
    </xdr:from>
    <xdr:to>
      <xdr:col>1</xdr:col>
      <xdr:colOff>314325</xdr:colOff>
      <xdr:row>26</xdr:row>
      <xdr:rowOff>76200</xdr:rowOff>
    </xdr:to>
    <xdr:sp macro="" textlink="">
      <xdr:nvSpPr>
        <xdr:cNvPr id="7221" name="右カーブ矢印 25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rrowheads="1"/>
        </xdr:cNvSpPr>
      </xdr:nvSpPr>
      <xdr:spPr bwMode="auto">
        <a:xfrm>
          <a:off x="342900" y="5610225"/>
          <a:ext cx="180975" cy="619125"/>
        </a:xfrm>
        <a:prstGeom prst="curvedRightArrow">
          <a:avLst>
            <a:gd name="adj1" fmla="val 34448"/>
            <a:gd name="adj2" fmla="val 68849"/>
            <a:gd name="adj3" fmla="val 25000"/>
          </a:avLst>
        </a:prstGeom>
        <a:solidFill>
          <a:srgbClr val="984807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23</xdr:row>
      <xdr:rowOff>114300</xdr:rowOff>
    </xdr:from>
    <xdr:to>
      <xdr:col>1</xdr:col>
      <xdr:colOff>314325</xdr:colOff>
      <xdr:row>40</xdr:row>
      <xdr:rowOff>76200</xdr:rowOff>
    </xdr:to>
    <xdr:sp macro="" textlink="">
      <xdr:nvSpPr>
        <xdr:cNvPr id="7222" name="右カーブ矢印 26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rrowheads="1"/>
        </xdr:cNvSpPr>
      </xdr:nvSpPr>
      <xdr:spPr bwMode="auto">
        <a:xfrm>
          <a:off x="76200" y="5514975"/>
          <a:ext cx="447675" cy="3381375"/>
        </a:xfrm>
        <a:prstGeom prst="curvedRightArrow">
          <a:avLst>
            <a:gd name="adj1" fmla="val 12309"/>
            <a:gd name="adj2" fmla="val 68888"/>
            <a:gd name="adj3" fmla="val 25000"/>
          </a:avLst>
        </a:prstGeom>
        <a:solidFill>
          <a:srgbClr val="984807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38967</xdr:colOff>
      <xdr:row>1</xdr:row>
      <xdr:rowOff>100445</xdr:rowOff>
    </xdr:from>
    <xdr:to>
      <xdr:col>27</xdr:col>
      <xdr:colOff>171450</xdr:colOff>
      <xdr:row>2</xdr:row>
      <xdr:rowOff>224270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38967" y="224270"/>
          <a:ext cx="7600083" cy="342900"/>
        </a:xfrm>
        <a:prstGeom prst="roundRect">
          <a:avLst>
            <a:gd name="adj" fmla="val 16667"/>
          </a:avLst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600" b="1" i="0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令和５年度五島市　国民健康保険税の試算シート</a:t>
          </a:r>
          <a:endParaRPr lang="en-US" altLang="ja-JP" sz="1600" b="1" i="0" strike="noStrike" baseline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25</xdr:row>
          <xdr:rowOff>19050</xdr:rowOff>
        </xdr:from>
        <xdr:to>
          <xdr:col>27</xdr:col>
          <xdr:colOff>0</xdr:colOff>
          <xdr:row>27</xdr:row>
          <xdr:rowOff>28575</xdr:rowOff>
        </xdr:to>
        <xdr:sp macro="" textlink="">
          <xdr:nvSpPr>
            <xdr:cNvPr id="5938" name="Check Box 1842" hidden="1">
              <a:extLst>
                <a:ext uri="{63B3BB69-23CF-44E3-9099-C40C66FF867C}">
                  <a14:compatExt spid="_x0000_s5938"/>
                </a:ext>
                <a:ext uri="{FF2B5EF4-FFF2-40B4-BE49-F238E27FC236}">
                  <a16:creationId xmlns:a16="http://schemas.microsoft.com/office/drawing/2014/main" id="{00000000-0008-0000-0000-00003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27</xdr:row>
          <xdr:rowOff>19050</xdr:rowOff>
        </xdr:from>
        <xdr:to>
          <xdr:col>27</xdr:col>
          <xdr:colOff>0</xdr:colOff>
          <xdr:row>29</xdr:row>
          <xdr:rowOff>28575</xdr:rowOff>
        </xdr:to>
        <xdr:sp macro="" textlink="">
          <xdr:nvSpPr>
            <xdr:cNvPr id="5939" name="Check Box 1843" hidden="1">
              <a:extLst>
                <a:ext uri="{63B3BB69-23CF-44E3-9099-C40C66FF867C}">
                  <a14:compatExt spid="_x0000_s5939"/>
                </a:ext>
                <a:ext uri="{FF2B5EF4-FFF2-40B4-BE49-F238E27FC236}">
                  <a16:creationId xmlns:a16="http://schemas.microsoft.com/office/drawing/2014/main" id="{00000000-0008-0000-0000-00003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19050</xdr:rowOff>
        </xdr:from>
        <xdr:to>
          <xdr:col>27</xdr:col>
          <xdr:colOff>0</xdr:colOff>
          <xdr:row>31</xdr:row>
          <xdr:rowOff>28575</xdr:rowOff>
        </xdr:to>
        <xdr:sp macro="" textlink="">
          <xdr:nvSpPr>
            <xdr:cNvPr id="5940" name="Check Box 1844" hidden="1">
              <a:extLst>
                <a:ext uri="{63B3BB69-23CF-44E3-9099-C40C66FF867C}">
                  <a14:compatExt spid="_x0000_s5940"/>
                </a:ext>
                <a:ext uri="{FF2B5EF4-FFF2-40B4-BE49-F238E27FC236}">
                  <a16:creationId xmlns:a16="http://schemas.microsoft.com/office/drawing/2014/main" id="{00000000-0008-0000-0000-00003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31</xdr:row>
          <xdr:rowOff>19050</xdr:rowOff>
        </xdr:from>
        <xdr:to>
          <xdr:col>27</xdr:col>
          <xdr:colOff>0</xdr:colOff>
          <xdr:row>33</xdr:row>
          <xdr:rowOff>28575</xdr:rowOff>
        </xdr:to>
        <xdr:sp macro="" textlink="">
          <xdr:nvSpPr>
            <xdr:cNvPr id="5941" name="Check Box 1845" hidden="1">
              <a:extLst>
                <a:ext uri="{63B3BB69-23CF-44E3-9099-C40C66FF867C}">
                  <a14:compatExt spid="_x0000_s5941"/>
                </a:ext>
                <a:ext uri="{FF2B5EF4-FFF2-40B4-BE49-F238E27FC236}">
                  <a16:creationId xmlns:a16="http://schemas.microsoft.com/office/drawing/2014/main" id="{00000000-0008-0000-0000-00003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19050</xdr:rowOff>
        </xdr:from>
        <xdr:to>
          <xdr:col>27</xdr:col>
          <xdr:colOff>0</xdr:colOff>
          <xdr:row>35</xdr:row>
          <xdr:rowOff>28575</xdr:rowOff>
        </xdr:to>
        <xdr:sp macro="" textlink="">
          <xdr:nvSpPr>
            <xdr:cNvPr id="5942" name="Check Box 1846" hidden="1">
              <a:extLst>
                <a:ext uri="{63B3BB69-23CF-44E3-9099-C40C66FF867C}">
                  <a14:compatExt spid="_x0000_s5942"/>
                </a:ext>
                <a:ext uri="{FF2B5EF4-FFF2-40B4-BE49-F238E27FC236}">
                  <a16:creationId xmlns:a16="http://schemas.microsoft.com/office/drawing/2014/main" id="{00000000-0008-0000-0000-00003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35</xdr:row>
          <xdr:rowOff>19050</xdr:rowOff>
        </xdr:from>
        <xdr:to>
          <xdr:col>27</xdr:col>
          <xdr:colOff>0</xdr:colOff>
          <xdr:row>37</xdr:row>
          <xdr:rowOff>28575</xdr:rowOff>
        </xdr:to>
        <xdr:sp macro="" textlink="">
          <xdr:nvSpPr>
            <xdr:cNvPr id="5943" name="Check Box 1847" hidden="1">
              <a:extLst>
                <a:ext uri="{63B3BB69-23CF-44E3-9099-C40C66FF867C}">
                  <a14:compatExt spid="_x0000_s5943"/>
                </a:ext>
                <a:ext uri="{FF2B5EF4-FFF2-40B4-BE49-F238E27FC236}">
                  <a16:creationId xmlns:a16="http://schemas.microsoft.com/office/drawing/2014/main" id="{00000000-0008-0000-0000-00003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37</xdr:row>
          <xdr:rowOff>19050</xdr:rowOff>
        </xdr:from>
        <xdr:to>
          <xdr:col>27</xdr:col>
          <xdr:colOff>0</xdr:colOff>
          <xdr:row>39</xdr:row>
          <xdr:rowOff>28575</xdr:rowOff>
        </xdr:to>
        <xdr:sp macro="" textlink="">
          <xdr:nvSpPr>
            <xdr:cNvPr id="5944" name="Check Box 1848" hidden="1">
              <a:extLst>
                <a:ext uri="{63B3BB69-23CF-44E3-9099-C40C66FF867C}">
                  <a14:compatExt spid="_x0000_s5944"/>
                </a:ext>
                <a:ext uri="{FF2B5EF4-FFF2-40B4-BE49-F238E27FC236}">
                  <a16:creationId xmlns:a16="http://schemas.microsoft.com/office/drawing/2014/main" id="{00000000-0008-0000-0000-00003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39</xdr:row>
          <xdr:rowOff>19050</xdr:rowOff>
        </xdr:from>
        <xdr:to>
          <xdr:col>27</xdr:col>
          <xdr:colOff>0</xdr:colOff>
          <xdr:row>41</xdr:row>
          <xdr:rowOff>9525</xdr:rowOff>
        </xdr:to>
        <xdr:sp macro="" textlink="">
          <xdr:nvSpPr>
            <xdr:cNvPr id="5945" name="Check Box 1849" hidden="1">
              <a:extLst>
                <a:ext uri="{63B3BB69-23CF-44E3-9099-C40C66FF867C}">
                  <a14:compatExt spid="_x0000_s5945"/>
                </a:ext>
                <a:ext uri="{FF2B5EF4-FFF2-40B4-BE49-F238E27FC236}">
                  <a16:creationId xmlns:a16="http://schemas.microsoft.com/office/drawing/2014/main" id="{00000000-0008-0000-0000-00003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27432" tIns="18288" rIns="0" bIns="0" anchor="t" upright="1"/>
      <a:lstStyle>
        <a:defPPr algn="l" rtl="0">
          <a:lnSpc>
            <a:spcPts val="1100"/>
          </a:lnSpc>
          <a:defRPr sz="900" b="0" i="0" u="sng" strike="noStrike" baseline="0">
            <a:solidFill>
              <a:srgbClr val="C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70"/>
  <sheetViews>
    <sheetView showGridLines="0" tabSelected="1" view="pageBreakPreview" zoomScaleNormal="70" zoomScaleSheetLayoutView="100" workbookViewId="0">
      <selection activeCell="BB3" sqref="BB3"/>
    </sheetView>
  </sheetViews>
  <sheetFormatPr defaultColWidth="2.75" defaultRowHeight="13.5"/>
  <cols>
    <col min="1" max="1" width="2.75" style="58"/>
    <col min="2" max="2" width="4.625" style="58" customWidth="1"/>
    <col min="3" max="3" width="0.625" style="58" hidden="1" customWidth="1"/>
    <col min="4" max="4" width="2.625" style="58" customWidth="1"/>
    <col min="5" max="5" width="2.75" style="58" customWidth="1"/>
    <col min="6" max="6" width="16.5" style="58" customWidth="1"/>
    <col min="7" max="7" width="4.125" style="58" customWidth="1"/>
    <col min="8" max="8" width="3.125" style="58" customWidth="1"/>
    <col min="9" max="9" width="2.75" style="58" customWidth="1"/>
    <col min="10" max="10" width="4.125" style="58" customWidth="1"/>
    <col min="11" max="12" width="2.75" style="58" customWidth="1"/>
    <col min="13" max="13" width="3.125" style="58" customWidth="1"/>
    <col min="14" max="14" width="3" style="58" customWidth="1"/>
    <col min="15" max="15" width="3.25" style="58" customWidth="1"/>
    <col min="16" max="16" width="3.5" style="58" customWidth="1"/>
    <col min="17" max="17" width="2.75" style="58" customWidth="1"/>
    <col min="18" max="18" width="3.25" style="58" customWidth="1"/>
    <col min="19" max="19" width="3" style="58" customWidth="1"/>
    <col min="20" max="20" width="2.75" style="58" customWidth="1"/>
    <col min="21" max="21" width="3.75" style="58" customWidth="1"/>
    <col min="22" max="22" width="2.75" style="58" customWidth="1"/>
    <col min="23" max="23" width="3.375" style="58" customWidth="1"/>
    <col min="24" max="24" width="3" style="58" customWidth="1"/>
    <col min="25" max="25" width="4.125" style="58" customWidth="1"/>
    <col min="26" max="26" width="4.75" style="58" customWidth="1"/>
    <col min="27" max="27" width="3.5" style="58" customWidth="1"/>
    <col min="28" max="28" width="2.875" style="58" customWidth="1"/>
    <col min="29" max="29" width="9" hidden="1" customWidth="1"/>
    <col min="30" max="49" width="12.5" hidden="1" customWidth="1"/>
    <col min="50" max="52" width="3.875" customWidth="1"/>
  </cols>
  <sheetData>
    <row r="1" spans="1:29" ht="9.75" customHeight="1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"/>
    </row>
    <row r="2" spans="1:29" ht="17.25">
      <c r="B2" s="59"/>
      <c r="C2" s="59"/>
      <c r="D2" s="60"/>
      <c r="E2" s="59"/>
      <c r="F2" s="61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"/>
    </row>
    <row r="3" spans="1:29" ht="39.75" customHeight="1">
      <c r="B3" s="59"/>
      <c r="C3" s="59"/>
      <c r="D3" s="60"/>
      <c r="E3" s="59" t="s">
        <v>136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"/>
    </row>
    <row r="4" spans="1:29" ht="17.25">
      <c r="B4" s="59"/>
      <c r="C4" s="59"/>
      <c r="D4" s="60"/>
      <c r="E4" s="59" t="s">
        <v>33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6"/>
    </row>
    <row r="5" spans="1:29" ht="9.75" customHeight="1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"/>
    </row>
    <row r="6" spans="1:29" ht="27" customHeight="1">
      <c r="B6" s="59"/>
      <c r="C6" s="59"/>
      <c r="D6" s="62"/>
      <c r="E6" s="224" t="s">
        <v>69</v>
      </c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59"/>
      <c r="AA6" s="59"/>
      <c r="AB6" s="59"/>
      <c r="AC6" s="6"/>
    </row>
    <row r="7" spans="1:29" ht="16.5" customHeight="1">
      <c r="A7" s="63"/>
      <c r="B7" s="64">
        <v>1</v>
      </c>
      <c r="C7" s="64"/>
      <c r="D7" s="64" t="s">
        <v>78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54"/>
    </row>
    <row r="8" spans="1:29" ht="16.5" customHeight="1">
      <c r="A8" s="63"/>
      <c r="B8" s="64">
        <v>2</v>
      </c>
      <c r="C8" s="64"/>
      <c r="D8" s="65" t="s">
        <v>132</v>
      </c>
      <c r="E8" s="65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54"/>
    </row>
    <row r="9" spans="1:29" ht="16.5" customHeight="1">
      <c r="A9" s="63"/>
      <c r="B9" s="64">
        <v>3</v>
      </c>
      <c r="C9" s="64"/>
      <c r="D9" s="64" t="s">
        <v>133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54"/>
    </row>
    <row r="10" spans="1:29" ht="16.5" customHeight="1">
      <c r="A10" s="63"/>
      <c r="B10" s="64">
        <v>4</v>
      </c>
      <c r="C10" s="64"/>
      <c r="D10" s="64" t="s">
        <v>76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54"/>
    </row>
    <row r="11" spans="1:29" ht="16.5" customHeight="1">
      <c r="A11" s="63"/>
      <c r="B11" s="64">
        <v>5</v>
      </c>
      <c r="C11" s="64"/>
      <c r="D11" s="64" t="s">
        <v>77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54"/>
    </row>
    <row r="12" spans="1:29" ht="16.5" customHeight="1">
      <c r="A12" s="63"/>
      <c r="B12" s="64">
        <v>6</v>
      </c>
      <c r="C12" s="64"/>
      <c r="D12" s="64" t="s">
        <v>130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54"/>
    </row>
    <row r="13" spans="1:29" ht="16.5" customHeight="1">
      <c r="A13" s="63"/>
      <c r="B13" s="64">
        <v>7</v>
      </c>
      <c r="C13" s="64"/>
      <c r="D13" s="66" t="s">
        <v>103</v>
      </c>
      <c r="E13" s="66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54"/>
    </row>
    <row r="14" spans="1:29" ht="16.5" customHeight="1">
      <c r="A14" s="63"/>
      <c r="B14" s="64">
        <v>8</v>
      </c>
      <c r="C14" s="64"/>
      <c r="D14" s="66" t="s">
        <v>134</v>
      </c>
      <c r="E14" s="6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54"/>
    </row>
    <row r="15" spans="1:29" ht="16.5" customHeight="1">
      <c r="A15" s="63"/>
      <c r="B15" s="64">
        <v>9</v>
      </c>
      <c r="C15" s="64"/>
      <c r="D15" s="67" t="s">
        <v>22</v>
      </c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54"/>
    </row>
    <row r="16" spans="1:29" ht="20.100000000000001" customHeight="1">
      <c r="B16" s="59"/>
      <c r="C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4"/>
    </row>
    <row r="17" spans="2:49" ht="20.100000000000001" customHeight="1">
      <c r="B17" s="69" t="s">
        <v>73</v>
      </c>
      <c r="C17" s="59"/>
      <c r="E17" s="69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55"/>
    </row>
    <row r="18" spans="2:49" ht="20.100000000000001" customHeight="1">
      <c r="B18" s="69" t="s">
        <v>135</v>
      </c>
      <c r="C18" s="59"/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55"/>
    </row>
    <row r="19" spans="2:49" ht="20.100000000000001" customHeight="1">
      <c r="B19" s="71" t="s">
        <v>109</v>
      </c>
      <c r="C19" s="59"/>
      <c r="E19" s="71"/>
      <c r="F19" s="72"/>
      <c r="G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56"/>
    </row>
    <row r="20" spans="2:49" ht="20.100000000000001" customHeight="1">
      <c r="B20" s="70" t="s">
        <v>75</v>
      </c>
      <c r="C20" s="5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13"/>
    </row>
    <row r="21" spans="2:49" ht="14.25" thickBot="1">
      <c r="B21" s="59" t="s">
        <v>107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6"/>
    </row>
    <row r="22" spans="2:49" ht="14.25" customHeight="1" thickTop="1">
      <c r="B22" s="59"/>
      <c r="C22" s="59"/>
      <c r="D22" s="251" t="s">
        <v>46</v>
      </c>
      <c r="E22" s="252"/>
      <c r="F22" s="253"/>
      <c r="G22" s="225" t="s">
        <v>65</v>
      </c>
      <c r="H22" s="226"/>
      <c r="I22" s="227"/>
      <c r="J22" s="234" t="s">
        <v>34</v>
      </c>
      <c r="K22" s="106"/>
      <c r="L22" s="106"/>
      <c r="M22" s="106"/>
      <c r="N22" s="180"/>
      <c r="O22" s="234" t="s">
        <v>35</v>
      </c>
      <c r="P22" s="106"/>
      <c r="Q22" s="106"/>
      <c r="R22" s="106"/>
      <c r="S22" s="180"/>
      <c r="T22" s="225" t="s">
        <v>36</v>
      </c>
      <c r="U22" s="226"/>
      <c r="V22" s="226"/>
      <c r="W22" s="226"/>
      <c r="X22" s="227"/>
      <c r="Y22" s="225" t="s">
        <v>102</v>
      </c>
      <c r="Z22" s="226"/>
      <c r="AA22" s="226"/>
      <c r="AB22" s="227"/>
      <c r="AC22" s="47"/>
      <c r="AH22" s="31"/>
      <c r="AI22" s="31"/>
      <c r="AJ22" s="31"/>
      <c r="AK22" s="31"/>
    </row>
    <row r="23" spans="2:49" ht="13.5" customHeight="1">
      <c r="B23" s="59"/>
      <c r="C23" s="59"/>
      <c r="D23" s="184"/>
      <c r="E23" s="185"/>
      <c r="F23" s="186"/>
      <c r="G23" s="231"/>
      <c r="H23" s="232"/>
      <c r="I23" s="233"/>
      <c r="J23" s="235"/>
      <c r="K23" s="236"/>
      <c r="L23" s="236"/>
      <c r="M23" s="236"/>
      <c r="N23" s="181"/>
      <c r="O23" s="235"/>
      <c r="P23" s="236"/>
      <c r="Q23" s="236"/>
      <c r="R23" s="236"/>
      <c r="S23" s="181"/>
      <c r="T23" s="231"/>
      <c r="U23" s="232"/>
      <c r="V23" s="232"/>
      <c r="W23" s="232"/>
      <c r="X23" s="233"/>
      <c r="Y23" s="231"/>
      <c r="Z23" s="232"/>
      <c r="AA23" s="232"/>
      <c r="AB23" s="233"/>
      <c r="AC23" s="47"/>
    </row>
    <row r="24" spans="2:49" ht="14.25" customHeight="1" thickBot="1">
      <c r="B24" s="59"/>
      <c r="C24" s="59"/>
      <c r="D24" s="254" t="s">
        <v>104</v>
      </c>
      <c r="E24" s="255"/>
      <c r="F24" s="256"/>
      <c r="G24" s="245" t="s">
        <v>68</v>
      </c>
      <c r="H24" s="246"/>
      <c r="I24" s="247"/>
      <c r="J24" s="239" t="s">
        <v>66</v>
      </c>
      <c r="K24" s="240"/>
      <c r="L24" s="240"/>
      <c r="M24" s="240"/>
      <c r="N24" s="241"/>
      <c r="O24" s="239" t="s">
        <v>66</v>
      </c>
      <c r="P24" s="240"/>
      <c r="Q24" s="240"/>
      <c r="R24" s="240"/>
      <c r="S24" s="241"/>
      <c r="T24" s="239" t="s">
        <v>67</v>
      </c>
      <c r="U24" s="240"/>
      <c r="V24" s="240"/>
      <c r="W24" s="240"/>
      <c r="X24" s="241"/>
      <c r="Y24" s="245" t="s">
        <v>114</v>
      </c>
      <c r="Z24" s="246"/>
      <c r="AA24" s="246"/>
      <c r="AB24" s="247"/>
      <c r="AC24" s="48"/>
      <c r="AD24" t="s">
        <v>100</v>
      </c>
      <c r="AE24" t="s">
        <v>101</v>
      </c>
      <c r="AF24" t="s">
        <v>43</v>
      </c>
      <c r="AS24" s="46"/>
      <c r="AT24" t="s">
        <v>4</v>
      </c>
    </row>
    <row r="25" spans="2:49" ht="30" customHeight="1" thickBot="1">
      <c r="B25" s="59"/>
      <c r="C25" s="59"/>
      <c r="D25" s="257"/>
      <c r="E25" s="258"/>
      <c r="F25" s="259"/>
      <c r="G25" s="248"/>
      <c r="H25" s="249"/>
      <c r="I25" s="250"/>
      <c r="J25" s="242"/>
      <c r="K25" s="243"/>
      <c r="L25" s="243"/>
      <c r="M25" s="243"/>
      <c r="N25" s="244"/>
      <c r="O25" s="242"/>
      <c r="P25" s="243"/>
      <c r="Q25" s="243"/>
      <c r="R25" s="243"/>
      <c r="S25" s="244"/>
      <c r="T25" s="242"/>
      <c r="U25" s="243"/>
      <c r="V25" s="243"/>
      <c r="W25" s="243"/>
      <c r="X25" s="244"/>
      <c r="Y25" s="248"/>
      <c r="Z25" s="249"/>
      <c r="AA25" s="249"/>
      <c r="AB25" s="250"/>
      <c r="AC25" s="48"/>
      <c r="AD25" s="50" t="s">
        <v>110</v>
      </c>
      <c r="AE25" s="50" t="s">
        <v>94</v>
      </c>
      <c r="AF25" s="2"/>
      <c r="AG25" s="3" t="s">
        <v>96</v>
      </c>
      <c r="AH25" s="52" t="s">
        <v>18</v>
      </c>
      <c r="AI25" s="57" t="s">
        <v>98</v>
      </c>
      <c r="AJ25" s="52" t="s">
        <v>99</v>
      </c>
      <c r="AK25" s="28" t="s">
        <v>97</v>
      </c>
      <c r="AL25" s="53" t="s">
        <v>19</v>
      </c>
      <c r="AM25" s="28" t="s">
        <v>62</v>
      </c>
      <c r="AN25" s="27" t="s">
        <v>60</v>
      </c>
      <c r="AO25" s="29" t="s">
        <v>93</v>
      </c>
      <c r="AP25" s="42" t="s">
        <v>90</v>
      </c>
      <c r="AQ25" s="26" t="s">
        <v>92</v>
      </c>
      <c r="AR25" s="3" t="s">
        <v>20</v>
      </c>
      <c r="AS25" s="45" t="s">
        <v>91</v>
      </c>
      <c r="AT25" s="44"/>
      <c r="AU25" s="26" t="s">
        <v>92</v>
      </c>
      <c r="AV25" s="3" t="s">
        <v>20</v>
      </c>
      <c r="AW25" s="3" t="s">
        <v>24</v>
      </c>
    </row>
    <row r="26" spans="2:49" ht="15" customHeight="1" thickTop="1" thickBot="1">
      <c r="B26" s="59"/>
      <c r="C26" s="59"/>
      <c r="D26" s="225" t="s">
        <v>58</v>
      </c>
      <c r="E26" s="226"/>
      <c r="F26" s="227"/>
      <c r="G26" s="238"/>
      <c r="H26" s="238"/>
      <c r="I26" s="269" t="s">
        <v>27</v>
      </c>
      <c r="J26" s="260"/>
      <c r="K26" s="261"/>
      <c r="L26" s="261"/>
      <c r="M26" s="262"/>
      <c r="N26" s="237" t="s">
        <v>0</v>
      </c>
      <c r="O26" s="270"/>
      <c r="P26" s="271"/>
      <c r="Q26" s="271"/>
      <c r="R26" s="271"/>
      <c r="S26" s="237" t="s">
        <v>0</v>
      </c>
      <c r="T26" s="270"/>
      <c r="U26" s="271"/>
      <c r="V26" s="271"/>
      <c r="W26" s="271"/>
      <c r="X26" s="237" t="s">
        <v>131</v>
      </c>
      <c r="Y26" s="172"/>
      <c r="Z26" s="173"/>
      <c r="AA26" s="173"/>
      <c r="AB26" s="180"/>
      <c r="AC26" s="12"/>
      <c r="AD26" s="140" t="b">
        <v>0</v>
      </c>
      <c r="AE26" s="132" t="str">
        <f>IF(OR(J26&gt;550000,AND(G26&lt;65,O26&gt;600000),AND(G26&gt;=65,O26&gt;1100000)),"〇","")</f>
        <v/>
      </c>
      <c r="AF26" s="157" t="s">
        <v>5</v>
      </c>
      <c r="AG26" s="7">
        <f>IF(J26&lt;=550999,0,IF(J26&lt;=1618999,J26-550000,IF(J26&lt;=1619999,1069000,IF(J26&lt;=1621999,1070000,IF(J26&lt;=1623999,1072000,IF(J26&lt;=1627999,1074000,IF(J26&lt;=1799999,ROUNDDOWN(J26/4,-3)*2.4+100000,)))))))</f>
        <v>0</v>
      </c>
      <c r="AH26" s="170">
        <f>MAX(AG26,AG27)</f>
        <v>0</v>
      </c>
      <c r="AI26" s="170">
        <f>IF(AND(J26&gt;8500000,AD26=TRUE),IF(J26&gt;10000000,1500000*0.1,ROUNDUP((J26-8500000)*0.1,0)),0)</f>
        <v>0</v>
      </c>
      <c r="AJ26" s="170">
        <f>IF(AND(AH26&gt;0,AL26&gt;0,AH26+AL26&gt;100000),IF(AND(AH26&gt;100000,AL26&gt;100000),100000,IF(AND(AH26&gt;100000,AL26&lt;=100000),AL26,IF(AND(AH26&lt;=1000000,AL26&gt;100000),AH26,AH26+AL26-100000))),0)</f>
        <v>0</v>
      </c>
      <c r="AK26" s="170">
        <f>AH26-AI26-AJ26</f>
        <v>0</v>
      </c>
      <c r="AL26" s="170">
        <f>年金所得計算表!E10</f>
        <v>0</v>
      </c>
      <c r="AM26" s="170">
        <f>IF(G26&lt;=64,AL26,IF(AL26-150000&lt;0,0,AL26-150000))</f>
        <v>0</v>
      </c>
      <c r="AN26" s="183">
        <f>T26</f>
        <v>0</v>
      </c>
      <c r="AO26" s="170">
        <f>IF(AK26+AM26+AN26&lt;=0,0,AK26+AM26+AN26)</f>
        <v>0</v>
      </c>
      <c r="AP26" s="275">
        <f>IF(OR(AS26=0,AS26&gt;25000000),0,IF(AS26&lt;=24000000,430000,IF(AS26&lt;=24500000,290000,150000)))</f>
        <v>0</v>
      </c>
      <c r="AQ26" s="170">
        <f>IF(AS26-AP26&lt;=0,0,AS26-AP26)</f>
        <v>0</v>
      </c>
      <c r="AR26" s="183">
        <f>Y26</f>
        <v>0</v>
      </c>
      <c r="AS26" s="277">
        <f>AK26+AL26+AN26</f>
        <v>0</v>
      </c>
      <c r="AT26" s="279" t="s">
        <v>5</v>
      </c>
      <c r="AU26" s="170" t="str">
        <f>IF(AND(G26&gt;=40,G26&lt;=64),(AQ26),"")</f>
        <v/>
      </c>
      <c r="AV26" s="170" t="str">
        <f>IF(AND(G26&gt;=40,G26&lt;=64),(AR26),"")</f>
        <v/>
      </c>
      <c r="AW26" s="183">
        <f>IF(G26&lt;40,0,IF(G26&lt;=64,1,IF(G26&gt;65,0,)))</f>
        <v>0</v>
      </c>
    </row>
    <row r="27" spans="2:49" ht="15" customHeight="1" thickBot="1">
      <c r="B27" s="59"/>
      <c r="C27" s="59"/>
      <c r="D27" s="228" t="s">
        <v>105</v>
      </c>
      <c r="E27" s="229"/>
      <c r="F27" s="230"/>
      <c r="G27" s="190"/>
      <c r="H27" s="190"/>
      <c r="I27" s="204"/>
      <c r="J27" s="201"/>
      <c r="K27" s="202"/>
      <c r="L27" s="202"/>
      <c r="M27" s="203"/>
      <c r="N27" s="130"/>
      <c r="O27" s="193"/>
      <c r="P27" s="193"/>
      <c r="Q27" s="193"/>
      <c r="R27" s="193"/>
      <c r="S27" s="130"/>
      <c r="T27" s="193"/>
      <c r="U27" s="193"/>
      <c r="V27" s="193"/>
      <c r="W27" s="193"/>
      <c r="X27" s="130"/>
      <c r="Y27" s="174"/>
      <c r="Z27" s="175"/>
      <c r="AA27" s="175"/>
      <c r="AB27" s="177"/>
      <c r="AC27" s="12"/>
      <c r="AD27" s="140" t="b">
        <v>0</v>
      </c>
      <c r="AE27" s="132"/>
      <c r="AF27" s="158"/>
      <c r="AG27" s="9">
        <f>IF(J26&lt;=1799999,0,(IF(J26&lt;=3599999,ROUNDDOWN(J26/4,-3)*2.8-80000,IF(J26&lt;=6599999,ROUNDDOWN(J26/4,-3)*3.2-440000,IF(J26&lt;=8499999,J26*0.9-1100000,IF(J26&gt;=8500000,J26-1950000,))))))</f>
        <v>0</v>
      </c>
      <c r="AH27" s="171"/>
      <c r="AI27" s="171"/>
      <c r="AJ27" s="171"/>
      <c r="AK27" s="171"/>
      <c r="AL27" s="171"/>
      <c r="AM27" s="171"/>
      <c r="AN27" s="183"/>
      <c r="AO27" s="171"/>
      <c r="AP27" s="276"/>
      <c r="AQ27" s="171"/>
      <c r="AR27" s="183"/>
      <c r="AS27" s="278"/>
      <c r="AT27" s="280"/>
      <c r="AU27" s="171"/>
      <c r="AV27" s="171"/>
      <c r="AW27" s="183"/>
    </row>
    <row r="28" spans="2:49" ht="15" customHeight="1" thickBot="1">
      <c r="B28" s="59"/>
      <c r="C28" s="59"/>
      <c r="D28" s="184" t="s">
        <v>52</v>
      </c>
      <c r="E28" s="185"/>
      <c r="F28" s="186"/>
      <c r="G28" s="190"/>
      <c r="H28" s="190"/>
      <c r="I28" s="204" t="s">
        <v>27</v>
      </c>
      <c r="J28" s="195"/>
      <c r="K28" s="196"/>
      <c r="L28" s="196"/>
      <c r="M28" s="197"/>
      <c r="N28" s="130" t="s">
        <v>0</v>
      </c>
      <c r="O28" s="195"/>
      <c r="P28" s="196"/>
      <c r="Q28" s="196"/>
      <c r="R28" s="197"/>
      <c r="S28" s="130" t="s">
        <v>0</v>
      </c>
      <c r="T28" s="192"/>
      <c r="U28" s="193"/>
      <c r="V28" s="193"/>
      <c r="W28" s="193"/>
      <c r="X28" s="130" t="s">
        <v>128</v>
      </c>
      <c r="Y28" s="178"/>
      <c r="Z28" s="179"/>
      <c r="AA28" s="179"/>
      <c r="AB28" s="176"/>
      <c r="AC28" s="49"/>
      <c r="AD28" s="140" t="b">
        <v>0</v>
      </c>
      <c r="AE28" s="132" t="str">
        <f t="shared" ref="AE28" si="0">IF(OR(J28&gt;550000,AND(G28&lt;65,O28&gt;600000),AND(G28&gt;=65,O28&gt;1100000)),"〇","")</f>
        <v/>
      </c>
      <c r="AF28" s="157" t="s">
        <v>6</v>
      </c>
      <c r="AG28" s="7">
        <f>IF(J28&lt;=550999,0,IF(J28&lt;=1618999,J28-550000,IF(J28&lt;=1619999,1069000,IF(J28&lt;=1621999,1070000,IF(J28&lt;=1623999,1072000,IF(J28&lt;=1627999,1074000,IF(J28&lt;=1799999,ROUNDDOWN(J28/4,-3)*2.4+100000,)))))))</f>
        <v>0</v>
      </c>
      <c r="AH28" s="170">
        <f>MAX(AG28,AG29)</f>
        <v>0</v>
      </c>
      <c r="AI28" s="170">
        <f>IF(AND(J28&gt;8500000,AD28=TRUE),IF(J28&gt;10000000,1500000*0.1,ROUNDUP((J28-8500000)*0.1,0)),0)</f>
        <v>0</v>
      </c>
      <c r="AJ28" s="170">
        <f>IF(AND(AH28&gt;0,AL28&gt;0,AH28+AL28&gt;100000),IF(AND(AH28&gt;100000,AL28&gt;100000),100000,IF(AND(AH28&gt;100000,AL28&lt;=100000),AL28,IF(AND(AH28&lt;=1000000,AL28&gt;100000),AH28,AH28+AL28-100000))),0)</f>
        <v>0</v>
      </c>
      <c r="AK28" s="170">
        <f>AH28-AI28-AJ28</f>
        <v>0</v>
      </c>
      <c r="AL28" s="170">
        <f>年金所得計算表!E26</f>
        <v>0</v>
      </c>
      <c r="AM28" s="170">
        <f>IF(G28&lt;=64,AL28,IF(AL28-150000&lt;0,0,AL28-150000))</f>
        <v>0</v>
      </c>
      <c r="AN28" s="183">
        <f t="shared" ref="AN28" si="1">T28</f>
        <v>0</v>
      </c>
      <c r="AO28" s="170">
        <f t="shared" ref="AO28" si="2">IF(AK28+AM28+AN28&lt;=0,0,AK28+AM28+AN28)</f>
        <v>0</v>
      </c>
      <c r="AP28" s="275">
        <f>IF(OR(AS28=0,AS28&gt;25000000),0,IF(AS28&lt;=24000000,430000,IF(AS28&lt;=24500000,290000,150000)))</f>
        <v>0</v>
      </c>
      <c r="AQ28" s="170">
        <f>IF(AS28-AP28&lt;=0,0,AS28-AP28)</f>
        <v>0</v>
      </c>
      <c r="AR28" s="183">
        <f>Y28</f>
        <v>0</v>
      </c>
      <c r="AS28" s="277">
        <f>AK28+AL28+AN28</f>
        <v>0</v>
      </c>
      <c r="AT28" s="279" t="s">
        <v>6</v>
      </c>
      <c r="AU28" s="170" t="str">
        <f>IF(AND(G28&gt;=40,G28&lt;=64),(AQ28),"")</f>
        <v/>
      </c>
      <c r="AV28" s="170" t="str">
        <f>IF(AND(G28&gt;=40,G28&lt;=64),(AR28),"")</f>
        <v/>
      </c>
      <c r="AW28" s="183">
        <f>IF(G28&lt;40,0,IF(G28&lt;=64,1,IF(G28&gt;65,0,)))</f>
        <v>0</v>
      </c>
    </row>
    <row r="29" spans="2:49" ht="15" customHeight="1" thickBot="1">
      <c r="B29" s="59"/>
      <c r="C29" s="59"/>
      <c r="D29" s="187"/>
      <c r="E29" s="188"/>
      <c r="F29" s="189"/>
      <c r="G29" s="190"/>
      <c r="H29" s="190"/>
      <c r="I29" s="204"/>
      <c r="J29" s="201"/>
      <c r="K29" s="202"/>
      <c r="L29" s="202"/>
      <c r="M29" s="203"/>
      <c r="N29" s="130"/>
      <c r="O29" s="201"/>
      <c r="P29" s="202"/>
      <c r="Q29" s="202"/>
      <c r="R29" s="203"/>
      <c r="S29" s="130"/>
      <c r="T29" s="193"/>
      <c r="U29" s="193"/>
      <c r="V29" s="193"/>
      <c r="W29" s="193"/>
      <c r="X29" s="130"/>
      <c r="Y29" s="174"/>
      <c r="Z29" s="175"/>
      <c r="AA29" s="175"/>
      <c r="AB29" s="177"/>
      <c r="AC29" s="49"/>
      <c r="AD29" s="140" t="b">
        <v>0</v>
      </c>
      <c r="AE29" s="132"/>
      <c r="AF29" s="158"/>
      <c r="AG29" s="9">
        <f>IF(J28&lt;=1799999,0,(IF(J28&lt;=3599999,ROUNDDOWN(J28/4,-3)*2.8-80000,IF(J28&lt;=6599999,ROUNDDOWN(J28/4,-3)*3.2-440000,IF(J28&lt;=8499999,J28*0.9-1100000,IF(J28&gt;=8500000,J28-1950000,))))))</f>
        <v>0</v>
      </c>
      <c r="AH29" s="171"/>
      <c r="AI29" s="171"/>
      <c r="AJ29" s="171"/>
      <c r="AK29" s="171"/>
      <c r="AL29" s="171"/>
      <c r="AM29" s="171"/>
      <c r="AN29" s="183"/>
      <c r="AO29" s="171"/>
      <c r="AP29" s="276"/>
      <c r="AQ29" s="171"/>
      <c r="AR29" s="183"/>
      <c r="AS29" s="278"/>
      <c r="AT29" s="280"/>
      <c r="AU29" s="171"/>
      <c r="AV29" s="171"/>
      <c r="AW29" s="183"/>
    </row>
    <row r="30" spans="2:49" ht="15" customHeight="1" thickBot="1">
      <c r="B30" s="59"/>
      <c r="C30" s="59"/>
      <c r="D30" s="184" t="s">
        <v>53</v>
      </c>
      <c r="E30" s="185"/>
      <c r="F30" s="186"/>
      <c r="G30" s="263"/>
      <c r="H30" s="263"/>
      <c r="I30" s="220" t="s">
        <v>27</v>
      </c>
      <c r="J30" s="195"/>
      <c r="K30" s="196"/>
      <c r="L30" s="196"/>
      <c r="M30" s="197"/>
      <c r="N30" s="148" t="s">
        <v>0</v>
      </c>
      <c r="O30" s="195"/>
      <c r="P30" s="196"/>
      <c r="Q30" s="196"/>
      <c r="R30" s="197"/>
      <c r="S30" s="148" t="s">
        <v>0</v>
      </c>
      <c r="T30" s="273"/>
      <c r="U30" s="274"/>
      <c r="V30" s="274"/>
      <c r="W30" s="274"/>
      <c r="X30" s="148" t="s">
        <v>128</v>
      </c>
      <c r="Y30" s="178"/>
      <c r="Z30" s="179"/>
      <c r="AA30" s="179"/>
      <c r="AB30" s="176"/>
      <c r="AC30" s="49"/>
      <c r="AD30" s="140" t="b">
        <v>0</v>
      </c>
      <c r="AE30" s="132" t="str">
        <f t="shared" ref="AE30" si="3">IF(OR(J30&gt;550000,AND(G30&lt;65,O30&gt;600000),AND(G30&gt;=65,O30&gt;1100000)),"〇","")</f>
        <v/>
      </c>
      <c r="AF30" s="157" t="s">
        <v>7</v>
      </c>
      <c r="AG30" s="7">
        <f>IF(J30&lt;=550999,0,IF(J30&lt;=1618999,J30-550000,IF(J30&lt;=1619999,1069000,IF(J30&lt;=1621999,1070000,IF(J30&lt;=1623999,1072000,IF(J30&lt;=1627999,1074000,IF(J30&lt;=1799999,ROUNDDOWN(J30/4,-3)*2.4+100000,)))))))</f>
        <v>0</v>
      </c>
      <c r="AH30" s="170">
        <f>MAX(AG30,AG31)</f>
        <v>0</v>
      </c>
      <c r="AI30" s="170">
        <f>IF(AND(J30&gt;8500000,AD30=TRUE),IF(J30&gt;10000000,1500000*0.1,ROUNDUP((J30-8500000)*0.1,0)),0)</f>
        <v>0</v>
      </c>
      <c r="AJ30" s="170">
        <f>IF(AND(AH30&gt;0,AL30&gt;0,AH30+AL30&gt;100000),IF(AND(AH30&gt;100000,AL30&gt;100000),100000,IF(AND(AH30&gt;100000,AL30&lt;=100000),AL30,IF(AND(AH30&lt;=1000000,AL30&gt;100000),AH30,AH30+AL30-100000))),0)</f>
        <v>0</v>
      </c>
      <c r="AK30" s="170">
        <f>AH30-AI30-AJ30</f>
        <v>0</v>
      </c>
      <c r="AL30" s="170">
        <f>年金所得計算表!E42</f>
        <v>0</v>
      </c>
      <c r="AM30" s="170">
        <f>IF(G30&lt;=64,AL30,IF(AL30-150000&lt;0,0,AL30-150000))</f>
        <v>0</v>
      </c>
      <c r="AN30" s="183">
        <f t="shared" ref="AN30" si="4">T30</f>
        <v>0</v>
      </c>
      <c r="AO30" s="170">
        <f t="shared" ref="AO30" si="5">IF(AK30+AM30+AN30&lt;=0,0,AK30+AM30+AN30)</f>
        <v>0</v>
      </c>
      <c r="AP30" s="275">
        <f t="shared" ref="AP30" si="6">IF(OR(AS30=0,AS30&gt;25000000),0,IF(AS30&lt;=24000000,430000,IF(AS30&lt;=24500000,290000,150000)))</f>
        <v>0</v>
      </c>
      <c r="AQ30" s="170">
        <f>IF(AS30-AP30&lt;=0,0,AS30-AP30)</f>
        <v>0</v>
      </c>
      <c r="AR30" s="183">
        <f>Y30</f>
        <v>0</v>
      </c>
      <c r="AS30" s="277">
        <f>AK30+AL30+AN30</f>
        <v>0</v>
      </c>
      <c r="AT30" s="279" t="s">
        <v>7</v>
      </c>
      <c r="AU30" s="170" t="str">
        <f>IF(AND(G30&gt;=40,G30&lt;=64),(AQ30),"")</f>
        <v/>
      </c>
      <c r="AV30" s="170" t="str">
        <f>IF(AND(G30&gt;=40,G30&lt;=64),(AR30),"")</f>
        <v/>
      </c>
      <c r="AW30" s="183">
        <f>IF(G30&lt;40,0,IF(G30&lt;=64,1,IF(G30&gt;65,0,)))</f>
        <v>0</v>
      </c>
    </row>
    <row r="31" spans="2:49" ht="15" customHeight="1" thickBot="1">
      <c r="B31" s="59"/>
      <c r="C31" s="59"/>
      <c r="D31" s="187"/>
      <c r="E31" s="188"/>
      <c r="F31" s="189"/>
      <c r="G31" s="190"/>
      <c r="H31" s="190"/>
      <c r="I31" s="204"/>
      <c r="J31" s="201"/>
      <c r="K31" s="202"/>
      <c r="L31" s="202"/>
      <c r="M31" s="203"/>
      <c r="N31" s="130"/>
      <c r="O31" s="201"/>
      <c r="P31" s="202"/>
      <c r="Q31" s="202"/>
      <c r="R31" s="203"/>
      <c r="S31" s="130"/>
      <c r="T31" s="193"/>
      <c r="U31" s="193"/>
      <c r="V31" s="193"/>
      <c r="W31" s="193"/>
      <c r="X31" s="130"/>
      <c r="Y31" s="174"/>
      <c r="Z31" s="175"/>
      <c r="AA31" s="175"/>
      <c r="AB31" s="177"/>
      <c r="AC31" s="49"/>
      <c r="AD31" s="140" t="b">
        <v>0</v>
      </c>
      <c r="AE31" s="132"/>
      <c r="AF31" s="158"/>
      <c r="AG31" s="9">
        <f>IF(J30&lt;=1799999,0,(IF(J30&lt;=3599999,ROUNDDOWN(J30/4,-3)*2.8-80000,IF(J30&lt;=6599999,ROUNDDOWN(J30/4,-3)*3.2-440000,IF(J30&lt;=8499999,J30*0.9-1100000,IF(J30&gt;=8500000,J30-1950000,))))))</f>
        <v>0</v>
      </c>
      <c r="AH31" s="171"/>
      <c r="AI31" s="171"/>
      <c r="AJ31" s="171"/>
      <c r="AK31" s="171"/>
      <c r="AL31" s="171"/>
      <c r="AM31" s="171"/>
      <c r="AN31" s="183"/>
      <c r="AO31" s="171"/>
      <c r="AP31" s="276"/>
      <c r="AQ31" s="171"/>
      <c r="AR31" s="183"/>
      <c r="AS31" s="278"/>
      <c r="AT31" s="280"/>
      <c r="AU31" s="171"/>
      <c r="AV31" s="171"/>
      <c r="AW31" s="183"/>
    </row>
    <row r="32" spans="2:49" ht="15" customHeight="1" thickBot="1">
      <c r="B32" s="59"/>
      <c r="C32" s="59"/>
      <c r="D32" s="184" t="s">
        <v>54</v>
      </c>
      <c r="E32" s="185"/>
      <c r="F32" s="186"/>
      <c r="G32" s="190"/>
      <c r="H32" s="190"/>
      <c r="I32" s="204" t="s">
        <v>27</v>
      </c>
      <c r="J32" s="195"/>
      <c r="K32" s="196"/>
      <c r="L32" s="196"/>
      <c r="M32" s="197"/>
      <c r="N32" s="130" t="s">
        <v>0</v>
      </c>
      <c r="O32" s="195"/>
      <c r="P32" s="196"/>
      <c r="Q32" s="196"/>
      <c r="R32" s="197"/>
      <c r="S32" s="130" t="s">
        <v>0</v>
      </c>
      <c r="T32" s="192"/>
      <c r="U32" s="193"/>
      <c r="V32" s="193"/>
      <c r="W32" s="193"/>
      <c r="X32" s="130" t="s">
        <v>128</v>
      </c>
      <c r="Y32" s="141"/>
      <c r="Z32" s="142"/>
      <c r="AA32" s="142"/>
      <c r="AB32" s="181"/>
      <c r="AC32" s="49"/>
      <c r="AD32" s="140" t="b">
        <v>0</v>
      </c>
      <c r="AE32" s="132" t="str">
        <f t="shared" ref="AE32" si="7">IF(OR(J32&gt;550000,AND(G32&lt;65,O32&gt;600000),AND(G32&gt;=65,O32&gt;1100000)),"〇","")</f>
        <v/>
      </c>
      <c r="AF32" s="157" t="s">
        <v>8</v>
      </c>
      <c r="AG32" s="7">
        <f>IF(J32&lt;=550999,0,IF(J32&lt;=1618999,J32-550000,IF(J32&lt;=1619999,1069000,IF(J32&lt;=1621999,1070000,IF(J32&lt;=1623999,1072000,IF(J32&lt;=1627999,1074000,IF(J32&lt;=1799999,ROUNDDOWN(J32/4,-3)*2.4+100000,)))))))</f>
        <v>0</v>
      </c>
      <c r="AH32" s="170">
        <f>MAX(AG32,AG33)</f>
        <v>0</v>
      </c>
      <c r="AI32" s="170">
        <f>IF(AND(J32&gt;8500000,AD32=TRUE),IF(J32&gt;10000000,1500000*0.1,ROUNDUP((J32-8500000)*0.1,0)),0)</f>
        <v>0</v>
      </c>
      <c r="AJ32" s="170">
        <f>IF(AND(AH32&gt;0,AL32&gt;0,AH32+AL32&gt;100000),IF(AND(AH32&gt;100000,AL32&gt;100000),100000,IF(AND(AH32&gt;100000,AL32&lt;=100000),AL32,IF(AND(AH32&lt;=1000000,AL32&gt;100000),AH32,AH32+AL32-100000))),0)</f>
        <v>0</v>
      </c>
      <c r="AK32" s="170">
        <f>AH32-AI32-AJ32</f>
        <v>0</v>
      </c>
      <c r="AL32" s="170">
        <f>年金所得計算表!E58</f>
        <v>0</v>
      </c>
      <c r="AM32" s="170">
        <f>IF(G32&lt;=64,AL32,IF(AL32-150000&lt;0,0,AL32-150000))</f>
        <v>0</v>
      </c>
      <c r="AN32" s="183">
        <f t="shared" ref="AN32" si="8">T32</f>
        <v>0</v>
      </c>
      <c r="AO32" s="170">
        <f t="shared" ref="AO32" si="9">IF(AK32+AM32+AN32&lt;=0,0,AK32+AM32+AN32)</f>
        <v>0</v>
      </c>
      <c r="AP32" s="275">
        <f t="shared" ref="AP32" si="10">IF(OR(AS32=0,AS32&gt;25000000),0,IF(AS32&lt;=24000000,430000,IF(AS32&lt;=24500000,290000,150000)))</f>
        <v>0</v>
      </c>
      <c r="AQ32" s="170">
        <f>IF(AS32-AP32&lt;=0,0,AS32-AP32)</f>
        <v>0</v>
      </c>
      <c r="AR32" s="183">
        <f>Y32</f>
        <v>0</v>
      </c>
      <c r="AS32" s="277">
        <f>AK32+AL32+AN32</f>
        <v>0</v>
      </c>
      <c r="AT32" s="279" t="s">
        <v>8</v>
      </c>
      <c r="AU32" s="170" t="str">
        <f>IF(AND(G32&gt;=40,G32&lt;=64),(AQ32),"")</f>
        <v/>
      </c>
      <c r="AV32" s="170" t="str">
        <f>IF(AND(G32&gt;=40,G32&lt;=64),(AR32),"")</f>
        <v/>
      </c>
      <c r="AW32" s="183">
        <f>IF(G32&lt;40,0,IF(G32&lt;=64,1,IF(G32&gt;65,0,)))</f>
        <v>0</v>
      </c>
    </row>
    <row r="33" spans="2:49" ht="15" customHeight="1" thickBot="1">
      <c r="B33" s="59"/>
      <c r="C33" s="59"/>
      <c r="D33" s="187"/>
      <c r="E33" s="188"/>
      <c r="F33" s="189"/>
      <c r="G33" s="190"/>
      <c r="H33" s="190"/>
      <c r="I33" s="204"/>
      <c r="J33" s="201"/>
      <c r="K33" s="202"/>
      <c r="L33" s="202"/>
      <c r="M33" s="203"/>
      <c r="N33" s="130"/>
      <c r="O33" s="201"/>
      <c r="P33" s="202"/>
      <c r="Q33" s="202"/>
      <c r="R33" s="203"/>
      <c r="S33" s="130"/>
      <c r="T33" s="193"/>
      <c r="U33" s="193"/>
      <c r="V33" s="193"/>
      <c r="W33" s="193"/>
      <c r="X33" s="130"/>
      <c r="Y33" s="174"/>
      <c r="Z33" s="175"/>
      <c r="AA33" s="175"/>
      <c r="AB33" s="177"/>
      <c r="AC33" s="49"/>
      <c r="AD33" s="140" t="b">
        <v>0</v>
      </c>
      <c r="AE33" s="132"/>
      <c r="AF33" s="158"/>
      <c r="AG33" s="9">
        <f>IF(J32&lt;=1799999,0,(IF(J32&lt;=3599999,ROUNDDOWN(J32/4,-3)*2.8-80000,IF(J32&lt;=6599999,ROUNDDOWN(J32/4,-3)*3.2-440000,IF(J32&lt;=8499999,J32*0.9-1100000,IF(J32&gt;=8500000,J32-1950000,))))))</f>
        <v>0</v>
      </c>
      <c r="AH33" s="171"/>
      <c r="AI33" s="171"/>
      <c r="AJ33" s="171"/>
      <c r="AK33" s="171"/>
      <c r="AL33" s="171"/>
      <c r="AM33" s="171"/>
      <c r="AN33" s="183"/>
      <c r="AO33" s="171"/>
      <c r="AP33" s="276"/>
      <c r="AQ33" s="171"/>
      <c r="AR33" s="183"/>
      <c r="AS33" s="278"/>
      <c r="AT33" s="280"/>
      <c r="AU33" s="171"/>
      <c r="AV33" s="171"/>
      <c r="AW33" s="183"/>
    </row>
    <row r="34" spans="2:49" ht="15" customHeight="1" thickBot="1">
      <c r="B34" s="59"/>
      <c r="C34" s="59"/>
      <c r="D34" s="184" t="s">
        <v>55</v>
      </c>
      <c r="E34" s="185"/>
      <c r="F34" s="186"/>
      <c r="G34" s="190"/>
      <c r="H34" s="190"/>
      <c r="I34" s="204" t="s">
        <v>27</v>
      </c>
      <c r="J34" s="195"/>
      <c r="K34" s="196"/>
      <c r="L34" s="196"/>
      <c r="M34" s="197"/>
      <c r="N34" s="130" t="s">
        <v>0</v>
      </c>
      <c r="O34" s="195"/>
      <c r="P34" s="196"/>
      <c r="Q34" s="196"/>
      <c r="R34" s="197"/>
      <c r="S34" s="130" t="s">
        <v>0</v>
      </c>
      <c r="T34" s="192"/>
      <c r="U34" s="193"/>
      <c r="V34" s="193"/>
      <c r="W34" s="193"/>
      <c r="X34" s="130" t="s">
        <v>128</v>
      </c>
      <c r="Y34" s="178"/>
      <c r="Z34" s="179"/>
      <c r="AA34" s="179"/>
      <c r="AB34" s="176"/>
      <c r="AC34" s="49"/>
      <c r="AD34" s="140" t="b">
        <v>0</v>
      </c>
      <c r="AE34" s="132" t="str">
        <f t="shared" ref="AE34" si="11">IF(OR(J34&gt;550000,AND(G34&lt;65,O34&gt;600000),AND(G34&gt;=65,O34&gt;1100000)),"〇","")</f>
        <v/>
      </c>
      <c r="AF34" s="157" t="s">
        <v>9</v>
      </c>
      <c r="AG34" s="7">
        <f>IF(J34&lt;=550999,0,IF(J34&lt;=1618999,J34-550000,IF(J34&lt;=1619999,1069000,IF(J34&lt;=1621999,1070000,IF(J34&lt;=1623999,1072000,IF(J34&lt;=1627999,1074000,IF(J34&lt;=1799999,ROUNDDOWN(J34/4,-3)*2.4+100000,)))))))</f>
        <v>0</v>
      </c>
      <c r="AH34" s="170">
        <f>MAX(AG34,AG35)</f>
        <v>0</v>
      </c>
      <c r="AI34" s="170">
        <f>IF(AND(J34&gt;8500000,AD34=TRUE),IF(J34&gt;10000000,1500000*0.1,ROUNDUP((J34-8500000)*0.1,0)),0)</f>
        <v>0</v>
      </c>
      <c r="AJ34" s="170">
        <f>IF(AND(AH34&gt;0,AL34&gt;0,AH34+AL34&gt;100000),IF(AND(AH34&gt;100000,AL34&gt;100000),100000,IF(AND(AH34&gt;100000,AL34&lt;=100000),AL34,IF(AND(AH34&lt;=1000000,AL34&gt;100000),AH34,AH34+AL34-100000))),0)</f>
        <v>0</v>
      </c>
      <c r="AK34" s="170">
        <f>AH34-AI34-AJ34</f>
        <v>0</v>
      </c>
      <c r="AL34" s="170">
        <f>年金所得計算表!E74</f>
        <v>0</v>
      </c>
      <c r="AM34" s="170">
        <f>IF(G34&lt;=64,AL34,IF(AL34-150000&lt;0,0,AL34-150000))</f>
        <v>0</v>
      </c>
      <c r="AN34" s="183">
        <f t="shared" ref="AN34" si="12">T34</f>
        <v>0</v>
      </c>
      <c r="AO34" s="170">
        <f t="shared" ref="AO34" si="13">IF(AK34+AM34+AN34&lt;=0,0,AK34+AM34+AN34)</f>
        <v>0</v>
      </c>
      <c r="AP34" s="275">
        <f t="shared" ref="AP34" si="14">IF(OR(AS34=0,AS34&gt;25000000),0,IF(AS34&lt;=24000000,430000,IF(AS34&lt;=24500000,290000,150000)))</f>
        <v>0</v>
      </c>
      <c r="AQ34" s="170">
        <f>IF(AS34-AP34&lt;=0,0,AS34-AP34)</f>
        <v>0</v>
      </c>
      <c r="AR34" s="183">
        <f>Y34</f>
        <v>0</v>
      </c>
      <c r="AS34" s="277">
        <f>AK34+AL34+AN34</f>
        <v>0</v>
      </c>
      <c r="AT34" s="279" t="s">
        <v>9</v>
      </c>
      <c r="AU34" s="170" t="str">
        <f>IF(AND(G34&gt;=40,G34&lt;=64),(AQ34),"")</f>
        <v/>
      </c>
      <c r="AV34" s="170" t="str">
        <f>IF(AND(G34&gt;=40,G34&lt;=64),(AR34),"")</f>
        <v/>
      </c>
      <c r="AW34" s="183">
        <f>IF(G34&lt;40,0,IF(G34&lt;=64,1,IF(G34&gt;65,0,)))</f>
        <v>0</v>
      </c>
    </row>
    <row r="35" spans="2:49" ht="15" customHeight="1" thickBot="1">
      <c r="B35" s="59"/>
      <c r="C35" s="59"/>
      <c r="D35" s="187"/>
      <c r="E35" s="188"/>
      <c r="F35" s="189"/>
      <c r="G35" s="190"/>
      <c r="H35" s="190"/>
      <c r="I35" s="204"/>
      <c r="J35" s="201"/>
      <c r="K35" s="202"/>
      <c r="L35" s="202"/>
      <c r="M35" s="203"/>
      <c r="N35" s="130"/>
      <c r="O35" s="201"/>
      <c r="P35" s="202"/>
      <c r="Q35" s="202"/>
      <c r="R35" s="203"/>
      <c r="S35" s="130"/>
      <c r="T35" s="193"/>
      <c r="U35" s="193"/>
      <c r="V35" s="193"/>
      <c r="W35" s="193"/>
      <c r="X35" s="130"/>
      <c r="Y35" s="174"/>
      <c r="Z35" s="175"/>
      <c r="AA35" s="175"/>
      <c r="AB35" s="177"/>
      <c r="AC35" s="49"/>
      <c r="AD35" s="140" t="b">
        <v>0</v>
      </c>
      <c r="AE35" s="132"/>
      <c r="AF35" s="158"/>
      <c r="AG35" s="9">
        <f>IF(J34&lt;=1799999,0,(IF(J34&lt;=3599999,ROUNDDOWN(J34/4,-3)*2.8-80000,IF(J34&lt;=6599999,ROUNDDOWN(J34/4,-3)*3.2-440000,IF(J34&lt;=8499999,J34*0.9-1100000,IF(J34&gt;=8500000,J34-1950000,))))))</f>
        <v>0</v>
      </c>
      <c r="AH35" s="171"/>
      <c r="AI35" s="171"/>
      <c r="AJ35" s="171"/>
      <c r="AK35" s="171"/>
      <c r="AL35" s="171"/>
      <c r="AM35" s="171"/>
      <c r="AN35" s="183"/>
      <c r="AO35" s="171"/>
      <c r="AP35" s="276"/>
      <c r="AQ35" s="171"/>
      <c r="AR35" s="183"/>
      <c r="AS35" s="278"/>
      <c r="AT35" s="280"/>
      <c r="AU35" s="171"/>
      <c r="AV35" s="171"/>
      <c r="AW35" s="183"/>
    </row>
    <row r="36" spans="2:49" ht="15" customHeight="1" thickBot="1">
      <c r="B36" s="59"/>
      <c r="C36" s="59"/>
      <c r="D36" s="184" t="s">
        <v>56</v>
      </c>
      <c r="E36" s="185"/>
      <c r="F36" s="186"/>
      <c r="G36" s="190"/>
      <c r="H36" s="190"/>
      <c r="I36" s="204" t="s">
        <v>27</v>
      </c>
      <c r="J36" s="195"/>
      <c r="K36" s="196"/>
      <c r="L36" s="196"/>
      <c r="M36" s="197"/>
      <c r="N36" s="130" t="s">
        <v>0</v>
      </c>
      <c r="O36" s="195"/>
      <c r="P36" s="196"/>
      <c r="Q36" s="196"/>
      <c r="R36" s="197"/>
      <c r="S36" s="130" t="s">
        <v>0</v>
      </c>
      <c r="T36" s="192"/>
      <c r="U36" s="193"/>
      <c r="V36" s="193"/>
      <c r="W36" s="193"/>
      <c r="X36" s="130" t="s">
        <v>0</v>
      </c>
      <c r="Y36" s="178"/>
      <c r="Z36" s="179"/>
      <c r="AA36" s="179"/>
      <c r="AB36" s="176"/>
      <c r="AC36" s="49"/>
      <c r="AD36" s="140" t="b">
        <v>0</v>
      </c>
      <c r="AE36" s="132" t="str">
        <f t="shared" ref="AE36" si="15">IF(OR(J36&gt;550000,AND(G36&lt;65,O36&gt;600000),AND(G36&gt;=65,O36&gt;1100000)),"〇","")</f>
        <v/>
      </c>
      <c r="AF36" s="157" t="s">
        <v>10</v>
      </c>
      <c r="AG36" s="7">
        <f>IF(J36&lt;=550999,0,IF(J36&lt;=1618999,J36-550000,IF(J36&lt;=1619999,1069000,IF(J36&lt;=1621999,1070000,IF(J36&lt;=1623999,1072000,IF(J36&lt;=1627999,1074000,IF(J36&lt;=1799999,ROUNDDOWN(J36/4,-3)*2.4+100000,)))))))</f>
        <v>0</v>
      </c>
      <c r="AH36" s="170">
        <f>MAX(AG36,AG37)</f>
        <v>0</v>
      </c>
      <c r="AI36" s="170">
        <f>IF(AND(J36&gt;8500000,AD36=TRUE),IF(J36&gt;10000000,1500000*0.1,ROUNDUP((J36-8500000)*0.1,0)),0)</f>
        <v>0</v>
      </c>
      <c r="AJ36" s="170">
        <f>IF(AND(AH36&gt;0,AL36&gt;0,AH36+AL36&gt;100000),IF(AND(AH36&gt;100000,AL36&gt;100000),100000,IF(AND(AH36&gt;100000,AL36&lt;=100000),AL36,IF(AND(AH36&lt;=1000000,AL36&gt;100000),AH36,AH36+AL36-100000))),0)</f>
        <v>0</v>
      </c>
      <c r="AK36" s="170">
        <f>AH36-AI36-AJ36</f>
        <v>0</v>
      </c>
      <c r="AL36" s="170">
        <f>年金所得計算表!E90</f>
        <v>0</v>
      </c>
      <c r="AM36" s="170">
        <f>IF(G36&lt;=64,AL36,IF(AL36-150000&lt;0,0,AL36-150000))</f>
        <v>0</v>
      </c>
      <c r="AN36" s="183">
        <f t="shared" ref="AN36" si="16">T36</f>
        <v>0</v>
      </c>
      <c r="AO36" s="170">
        <f t="shared" ref="AO36" si="17">IF(AK36+AM36+AN36&lt;=0,0,AK36+AM36+AN36)</f>
        <v>0</v>
      </c>
      <c r="AP36" s="275">
        <f t="shared" ref="AP36" si="18">IF(OR(AS36=0,AS36&gt;25000000),0,IF(AS36&lt;=24000000,430000,IF(AS36&lt;=24500000,290000,150000)))</f>
        <v>0</v>
      </c>
      <c r="AQ36" s="170">
        <f>IF(AS36-AP36&lt;=0,0,AS36-AP36)</f>
        <v>0</v>
      </c>
      <c r="AR36" s="183">
        <f>Y36</f>
        <v>0</v>
      </c>
      <c r="AS36" s="277">
        <f>AK36+AL36+AN36</f>
        <v>0</v>
      </c>
      <c r="AT36" s="272" t="s">
        <v>10</v>
      </c>
      <c r="AU36" s="170" t="str">
        <f>IF(AND(G36&gt;=40,G36&lt;=64),(AQ36),"")</f>
        <v/>
      </c>
      <c r="AV36" s="170" t="str">
        <f>IF(AND(G36&gt;=40,G36&lt;=64),(AR36),"")</f>
        <v/>
      </c>
      <c r="AW36" s="183">
        <f>IF(G36&lt;40,0,IF(G36&lt;=64,1,IF(G36&gt;65,0,)))</f>
        <v>0</v>
      </c>
    </row>
    <row r="37" spans="2:49" ht="15" customHeight="1" thickBot="1">
      <c r="B37" s="59"/>
      <c r="C37" s="59"/>
      <c r="D37" s="187"/>
      <c r="E37" s="188"/>
      <c r="F37" s="189"/>
      <c r="G37" s="190"/>
      <c r="H37" s="190"/>
      <c r="I37" s="204"/>
      <c r="J37" s="201"/>
      <c r="K37" s="202"/>
      <c r="L37" s="202"/>
      <c r="M37" s="203"/>
      <c r="N37" s="130"/>
      <c r="O37" s="201"/>
      <c r="P37" s="202"/>
      <c r="Q37" s="202"/>
      <c r="R37" s="203"/>
      <c r="S37" s="130"/>
      <c r="T37" s="193"/>
      <c r="U37" s="193"/>
      <c r="V37" s="193"/>
      <c r="W37" s="193"/>
      <c r="X37" s="130"/>
      <c r="Y37" s="174"/>
      <c r="Z37" s="175"/>
      <c r="AA37" s="175"/>
      <c r="AB37" s="177"/>
      <c r="AC37" s="49"/>
      <c r="AD37" s="140" t="b">
        <v>0</v>
      </c>
      <c r="AE37" s="132"/>
      <c r="AF37" s="158"/>
      <c r="AG37" s="9">
        <f>IF(J36&lt;=1799999,0,(IF(J36&lt;=3599999,ROUNDDOWN(J36/4,-3)*2.8-80000,IF(J36&lt;=6599999,ROUNDDOWN(J36/4,-3)*3.2-440000,IF(J36&lt;=8499999,J36*0.9-1100000,IF(J36&gt;=8500000,J36-1950000,))))))</f>
        <v>0</v>
      </c>
      <c r="AH37" s="171"/>
      <c r="AI37" s="171"/>
      <c r="AJ37" s="171"/>
      <c r="AK37" s="171"/>
      <c r="AL37" s="171"/>
      <c r="AM37" s="171"/>
      <c r="AN37" s="183"/>
      <c r="AO37" s="171"/>
      <c r="AP37" s="276"/>
      <c r="AQ37" s="171"/>
      <c r="AR37" s="183"/>
      <c r="AS37" s="278"/>
      <c r="AT37" s="272"/>
      <c r="AU37" s="171"/>
      <c r="AV37" s="171"/>
      <c r="AW37" s="183"/>
    </row>
    <row r="38" spans="2:49" ht="15" customHeight="1" thickBot="1">
      <c r="B38" s="59"/>
      <c r="C38" s="59"/>
      <c r="D38" s="211" t="s">
        <v>57</v>
      </c>
      <c r="E38" s="212"/>
      <c r="F38" s="213"/>
      <c r="G38" s="190"/>
      <c r="H38" s="190"/>
      <c r="I38" s="204" t="s">
        <v>27</v>
      </c>
      <c r="J38" s="195"/>
      <c r="K38" s="196"/>
      <c r="L38" s="196"/>
      <c r="M38" s="197"/>
      <c r="N38" s="130" t="s">
        <v>0</v>
      </c>
      <c r="O38" s="195"/>
      <c r="P38" s="196"/>
      <c r="Q38" s="196"/>
      <c r="R38" s="197"/>
      <c r="S38" s="130" t="s">
        <v>0</v>
      </c>
      <c r="T38" s="192"/>
      <c r="U38" s="193"/>
      <c r="V38" s="193"/>
      <c r="W38" s="193"/>
      <c r="X38" s="130" t="s">
        <v>0</v>
      </c>
      <c r="Y38" s="141"/>
      <c r="Z38" s="142"/>
      <c r="AA38" s="142"/>
      <c r="AB38" s="181"/>
      <c r="AC38" s="49"/>
      <c r="AD38" s="140" t="b">
        <v>0</v>
      </c>
      <c r="AE38" s="132" t="str">
        <f t="shared" ref="AE38" si="19">IF(OR(J38&gt;550000,AND(G38&lt;65,O38&gt;600000),AND(G38&gt;=65,O38&gt;1100000)),"〇","")</f>
        <v/>
      </c>
      <c r="AF38" s="157" t="s">
        <v>28</v>
      </c>
      <c r="AG38" s="7">
        <f>IF(J38&lt;=550999,0,IF(J38&lt;=1618999,J38-550000,IF(J38&lt;=1619999,1069000,IF(J38&lt;=1621999,1070000,IF(J38&lt;=1623999,1072000,IF(J38&lt;=1627999,1074000,IF(J38&lt;=1799999,ROUNDDOWN(J38/4,-3)*2.4+100000,)))))))</f>
        <v>0</v>
      </c>
      <c r="AH38" s="170">
        <f>MAX(AG38,AG39)</f>
        <v>0</v>
      </c>
      <c r="AI38" s="170">
        <f>IF(AND(J38&gt;8500000,AD38=TRUE),IF(J38&gt;10000000,1500000*0.1,ROUNDUP((J38-8500000)*0.1,0)),0)</f>
        <v>0</v>
      </c>
      <c r="AJ38" s="170">
        <f>IF(AND(AH38&gt;0,AL38&gt;0,AH38+AL38&gt;100000),IF(AND(AH38&gt;100000,AL38&gt;100000),100000,IF(AND(AH38&gt;100000,AL38&lt;=100000),AL38,IF(AND(AH38&lt;=1000000,AL38&gt;100000),AH38,AH38+AL38-100000))),0)</f>
        <v>0</v>
      </c>
      <c r="AK38" s="170">
        <f>AH38-AI38-AJ38</f>
        <v>0</v>
      </c>
      <c r="AL38" s="170">
        <f>年金所得計算表!E106</f>
        <v>0</v>
      </c>
      <c r="AM38" s="170">
        <f>IF(G38&lt;=64,AL38,IF(AL38-150000&lt;0,0,AL38-150000))</f>
        <v>0</v>
      </c>
      <c r="AN38" s="183">
        <f t="shared" ref="AN38" si="20">T38</f>
        <v>0</v>
      </c>
      <c r="AO38" s="170">
        <f t="shared" ref="AO38" si="21">IF(AK38+AM38+AN38&lt;=0,0,AK38+AM38+AN38)</f>
        <v>0</v>
      </c>
      <c r="AP38" s="275">
        <f t="shared" ref="AP38" si="22">IF(OR(AS38=0,AS38&gt;25000000),0,IF(AS38&lt;=24000000,430000,IF(AS38&lt;=24500000,290000,150000)))</f>
        <v>0</v>
      </c>
      <c r="AQ38" s="170">
        <f>IF(AS38-AP38&lt;=0,0,AS38-AP38)</f>
        <v>0</v>
      </c>
      <c r="AR38" s="183">
        <f>Y38</f>
        <v>0</v>
      </c>
      <c r="AS38" s="277">
        <f>AK38+AL38+AN38</f>
        <v>0</v>
      </c>
      <c r="AT38" s="272" t="s">
        <v>28</v>
      </c>
      <c r="AU38" s="170" t="str">
        <f>IF(AND(G38&gt;=40,G38&lt;=64),(AQ38),"")</f>
        <v/>
      </c>
      <c r="AV38" s="170" t="str">
        <f>IF(AND(G38&gt;=40,G38&lt;=64),(AR38),"")</f>
        <v/>
      </c>
      <c r="AW38" s="183">
        <f>IF(G38&lt;40,0,IF(G38&lt;=64,1,IF(G38&gt;65,0,)))</f>
        <v>0</v>
      </c>
    </row>
    <row r="39" spans="2:49" ht="15" customHeight="1" thickBot="1">
      <c r="B39" s="59"/>
      <c r="C39" s="59"/>
      <c r="D39" s="214"/>
      <c r="E39" s="215"/>
      <c r="F39" s="216"/>
      <c r="G39" s="191"/>
      <c r="H39" s="191"/>
      <c r="I39" s="221"/>
      <c r="J39" s="198"/>
      <c r="K39" s="199"/>
      <c r="L39" s="199"/>
      <c r="M39" s="200"/>
      <c r="N39" s="131"/>
      <c r="O39" s="198"/>
      <c r="P39" s="199"/>
      <c r="Q39" s="199"/>
      <c r="R39" s="200"/>
      <c r="S39" s="131"/>
      <c r="T39" s="194"/>
      <c r="U39" s="194"/>
      <c r="V39" s="194"/>
      <c r="W39" s="194"/>
      <c r="X39" s="131"/>
      <c r="Y39" s="143"/>
      <c r="Z39" s="144"/>
      <c r="AA39" s="144"/>
      <c r="AB39" s="182"/>
      <c r="AC39" s="49"/>
      <c r="AD39" s="140" t="b">
        <v>0</v>
      </c>
      <c r="AE39" s="132"/>
      <c r="AF39" s="158"/>
      <c r="AG39" s="9">
        <f>IF(J38&lt;=1799999,0,(IF(J38&lt;=3599999,ROUNDDOWN(J38/4,-3)*2.8-80000,IF(J38&lt;=6599999,ROUNDDOWN(J38/4,-3)*3.2-440000,IF(J38&lt;=8499999,J38*0.9-1100000,IF(J38&gt;=8500000,J38-1950000,))))))</f>
        <v>0</v>
      </c>
      <c r="AH39" s="171"/>
      <c r="AI39" s="171"/>
      <c r="AJ39" s="171"/>
      <c r="AK39" s="171"/>
      <c r="AL39" s="171"/>
      <c r="AM39" s="171"/>
      <c r="AN39" s="183"/>
      <c r="AO39" s="171"/>
      <c r="AP39" s="276"/>
      <c r="AQ39" s="171"/>
      <c r="AR39" s="183"/>
      <c r="AS39" s="278"/>
      <c r="AT39" s="272"/>
      <c r="AU39" s="171"/>
      <c r="AV39" s="171"/>
      <c r="AW39" s="183"/>
    </row>
    <row r="40" spans="2:49" ht="15" customHeight="1" thickTop="1" thickBot="1">
      <c r="B40" s="59"/>
      <c r="C40" s="59"/>
      <c r="D40" s="205" t="s">
        <v>106</v>
      </c>
      <c r="E40" s="206"/>
      <c r="F40" s="207"/>
      <c r="G40" s="222"/>
      <c r="H40" s="222"/>
      <c r="I40" s="220" t="s">
        <v>27</v>
      </c>
      <c r="J40" s="217"/>
      <c r="K40" s="218"/>
      <c r="L40" s="218"/>
      <c r="M40" s="219"/>
      <c r="N40" s="148" t="s">
        <v>0</v>
      </c>
      <c r="O40" s="127"/>
      <c r="P40" s="128"/>
      <c r="Q40" s="128"/>
      <c r="R40" s="128"/>
      <c r="S40" s="148" t="s">
        <v>0</v>
      </c>
      <c r="T40" s="127"/>
      <c r="U40" s="128"/>
      <c r="V40" s="128"/>
      <c r="W40" s="128"/>
      <c r="X40" s="148" t="s">
        <v>0</v>
      </c>
      <c r="Y40" s="141"/>
      <c r="Z40" s="142"/>
      <c r="AA40" s="142"/>
      <c r="AB40" s="181"/>
      <c r="AC40" s="49"/>
      <c r="AD40" s="140" t="b">
        <v>0</v>
      </c>
      <c r="AE40" s="132" t="str">
        <f>IF(OR(J40&gt;550000,AND(G40&lt;65,O40&gt;600000),AND(G40&gt;=65,O40&gt;1100000)),"〇","")</f>
        <v/>
      </c>
      <c r="AF40" s="157" t="s">
        <v>21</v>
      </c>
      <c r="AG40" s="150"/>
      <c r="AH40" s="151"/>
      <c r="AI40" s="151"/>
      <c r="AJ40" s="151"/>
      <c r="AK40" s="151"/>
      <c r="AL40" s="151"/>
      <c r="AM40" s="151"/>
      <c r="AN40" s="152"/>
      <c r="AO40" s="170">
        <f>SUM(AO26:AO39)</f>
        <v>0</v>
      </c>
      <c r="AP40" s="275">
        <f>IF(OR(AS40=0,AS40&gt;25000000),0,IF(AS40&lt;=24000000,430000,IF(AS40&lt;=24500000,290000,150000)))</f>
        <v>0</v>
      </c>
      <c r="AQ40" s="284">
        <f>SUM(AQ26:AQ39)</f>
        <v>0</v>
      </c>
      <c r="AR40" s="170"/>
      <c r="AS40" s="281">
        <f>SUM(AS26:AS39)</f>
        <v>0</v>
      </c>
      <c r="AT40" s="43" t="s">
        <v>21</v>
      </c>
      <c r="AU40" s="8">
        <f>SUM(AU26:AU39)</f>
        <v>0</v>
      </c>
      <c r="AV40" s="8">
        <f>SUM(AV26:AV39)</f>
        <v>0</v>
      </c>
      <c r="AW40" s="8">
        <f>SUM(AW26:AW39)</f>
        <v>0</v>
      </c>
    </row>
    <row r="41" spans="2:49" ht="15" customHeight="1" thickBot="1">
      <c r="B41" s="59"/>
      <c r="C41" s="59"/>
      <c r="D41" s="208" t="s">
        <v>63</v>
      </c>
      <c r="E41" s="209"/>
      <c r="F41" s="210"/>
      <c r="G41" s="223"/>
      <c r="H41" s="223"/>
      <c r="I41" s="221"/>
      <c r="J41" s="217"/>
      <c r="K41" s="218"/>
      <c r="L41" s="218"/>
      <c r="M41" s="219"/>
      <c r="N41" s="149"/>
      <c r="O41" s="146"/>
      <c r="P41" s="146"/>
      <c r="Q41" s="146"/>
      <c r="R41" s="146"/>
      <c r="S41" s="149"/>
      <c r="T41" s="129"/>
      <c r="U41" s="129"/>
      <c r="V41" s="129"/>
      <c r="W41" s="129"/>
      <c r="X41" s="131"/>
      <c r="Y41" s="143"/>
      <c r="Z41" s="144"/>
      <c r="AA41" s="144"/>
      <c r="AB41" s="182"/>
      <c r="AC41" s="49"/>
      <c r="AD41" s="140" t="b">
        <v>0</v>
      </c>
      <c r="AE41" s="132"/>
      <c r="AF41" s="158"/>
      <c r="AG41" s="153"/>
      <c r="AH41" s="154"/>
      <c r="AI41" s="154"/>
      <c r="AJ41" s="154"/>
      <c r="AK41" s="154"/>
      <c r="AL41" s="154"/>
      <c r="AM41" s="154"/>
      <c r="AN41" s="155"/>
      <c r="AO41" s="171"/>
      <c r="AP41" s="276"/>
      <c r="AQ41" s="285"/>
      <c r="AR41" s="171"/>
      <c r="AS41" s="278"/>
    </row>
    <row r="42" spans="2:49" ht="15" thickTop="1" thickBot="1">
      <c r="B42" s="59"/>
      <c r="C42" s="59"/>
      <c r="D42" s="59"/>
      <c r="E42" s="59"/>
      <c r="F42" s="59"/>
      <c r="G42" s="59"/>
      <c r="H42" s="59"/>
      <c r="I42" s="59"/>
      <c r="J42" s="266" t="s">
        <v>37</v>
      </c>
      <c r="K42" s="267"/>
      <c r="L42" s="267"/>
      <c r="M42" s="267"/>
      <c r="N42" s="267"/>
      <c r="O42" s="267"/>
      <c r="P42" s="268"/>
      <c r="Q42" s="264">
        <f>COUNT(G26:H39)</f>
        <v>0</v>
      </c>
      <c r="R42" s="264"/>
      <c r="S42" s="75" t="s">
        <v>11</v>
      </c>
      <c r="T42" s="59"/>
      <c r="U42" s="59"/>
      <c r="V42" s="59"/>
      <c r="W42" s="59"/>
      <c r="X42" s="59"/>
      <c r="Y42" s="59"/>
      <c r="Z42" s="59"/>
      <c r="AA42" s="59"/>
      <c r="AB42" s="59"/>
      <c r="AC42" s="11"/>
      <c r="AE42" s="132" t="str">
        <f>IF(OR(AND(J42&gt;550000,G42&lt;65,O42&gt;600000),AND(J42&gt;550000,G42&gt;=65,O42&gt;1100000)),"〇","")</f>
        <v/>
      </c>
      <c r="AF42" s="157" t="s">
        <v>59</v>
      </c>
      <c r="AG42" s="7">
        <f>IF(J40&lt;=550999,0,IF(J40&lt;=1618999,J40-550000,IF(J40&lt;=1619999,1069000,IF(J40&lt;=1621999,1070000,IF(J40&lt;=1623999,1072000,IF(J40&lt;=1627999,1074000,IF(J40&lt;=1799999,ROUNDDOWN(J40/4,-3)*2.4+100000,)))))))</f>
        <v>0</v>
      </c>
      <c r="AH42" s="170">
        <f>MAX(AG42,AG43)</f>
        <v>0</v>
      </c>
      <c r="AI42" s="170">
        <f>IF(AND(J40&gt;8500000,AD40=TRUE),IF(J40&gt;10000000,1500000*0.1,ROUNDUP((J40-8500000)*0.1,0)),0)</f>
        <v>0</v>
      </c>
      <c r="AJ42" s="170">
        <f>IF(AND(AH42&gt;0,AL42&gt;0,AH42+AL42&gt;100000),IF(AND(AH42&gt;100000,AL42&gt;100000),100000,IF(AND(AH42&gt;100000,AL42&lt;=100000),AL42,IF(AND(AH42&lt;=1000000,AL42&gt;100000),AH42,AH42+AL42-100000))),0)</f>
        <v>0</v>
      </c>
      <c r="AK42" s="170">
        <f>AH42-AI42-AJ42</f>
        <v>0</v>
      </c>
      <c r="AL42" s="170">
        <f>年金所得計算表!E122</f>
        <v>0</v>
      </c>
      <c r="AM42" s="170">
        <f>IF(G40&lt;=64,AL42,IF(AL42-150000&lt;0,0,AL42-150000))</f>
        <v>0</v>
      </c>
      <c r="AN42" s="183">
        <f>IF(T40&gt;=0,T40,0)</f>
        <v>0</v>
      </c>
      <c r="AO42" s="170">
        <f>IF(AK42+AM42+AN42&lt;=0,0,AK42+AM42+AN42)</f>
        <v>0</v>
      </c>
      <c r="AS42" s="282"/>
    </row>
    <row r="43" spans="2:49" ht="15" thickTop="1" thickBot="1">
      <c r="B43" s="59"/>
      <c r="C43" s="59"/>
      <c r="D43" s="59"/>
      <c r="E43" s="59"/>
      <c r="F43" s="59"/>
      <c r="G43" s="59"/>
      <c r="H43" s="59"/>
      <c r="I43" s="59"/>
      <c r="J43" s="266" t="s">
        <v>71</v>
      </c>
      <c r="K43" s="267"/>
      <c r="L43" s="267"/>
      <c r="M43" s="267"/>
      <c r="N43" s="267"/>
      <c r="O43" s="267"/>
      <c r="P43" s="268"/>
      <c r="Q43" s="265">
        <f>AW40</f>
        <v>0</v>
      </c>
      <c r="R43" s="264"/>
      <c r="S43" s="75" t="s">
        <v>11</v>
      </c>
      <c r="T43" s="59" t="s">
        <v>38</v>
      </c>
      <c r="U43" s="59"/>
      <c r="V43" s="59"/>
      <c r="W43" s="59"/>
      <c r="X43" s="59"/>
      <c r="Y43" s="59"/>
      <c r="Z43" s="59"/>
      <c r="AA43" s="59"/>
      <c r="AB43" s="59"/>
      <c r="AC43" s="11"/>
      <c r="AE43" s="132"/>
      <c r="AF43" s="158"/>
      <c r="AG43" s="9">
        <f>IF(J40&lt;=1799999,0,(IF(J40&lt;=3599999,ROUNDDOWN(J40/4,-3)*2.8-80000,IF(J40&lt;=6599999,ROUNDDOWN(J40/4,-3)*3.2-440000,IF(J40&lt;=8499999,J40*0.9-1100000,IF(J40&gt;=8500000,J40-1950000,))))))</f>
        <v>0</v>
      </c>
      <c r="AH43" s="171"/>
      <c r="AI43" s="171"/>
      <c r="AJ43" s="171"/>
      <c r="AK43" s="171"/>
      <c r="AL43" s="171"/>
      <c r="AM43" s="171"/>
      <c r="AN43" s="183"/>
      <c r="AO43" s="171"/>
      <c r="AS43" s="283"/>
    </row>
    <row r="44" spans="2:49" ht="15" thickTop="1" thickBot="1">
      <c r="B44" s="59"/>
      <c r="C44" s="59"/>
      <c r="D44" s="59"/>
      <c r="E44" s="59"/>
      <c r="F44" s="98"/>
      <c r="G44" s="59"/>
      <c r="H44" s="59"/>
      <c r="I44" s="59"/>
      <c r="J44" s="111" t="s">
        <v>39</v>
      </c>
      <c r="K44" s="112"/>
      <c r="L44" s="112"/>
      <c r="M44" s="112"/>
      <c r="N44" s="113"/>
      <c r="O44" s="147">
        <f>AQ40</f>
        <v>0</v>
      </c>
      <c r="P44" s="147"/>
      <c r="Q44" s="147"/>
      <c r="R44" s="147"/>
      <c r="S44" s="76" t="s">
        <v>0</v>
      </c>
      <c r="T44" s="59"/>
      <c r="U44" s="59"/>
      <c r="V44" s="59"/>
      <c r="W44" s="59"/>
      <c r="X44" s="59"/>
      <c r="Y44" s="59"/>
      <c r="Z44" s="59"/>
      <c r="AA44" s="59"/>
      <c r="AB44" s="59"/>
      <c r="AC44" s="11"/>
      <c r="AE44" s="132"/>
      <c r="AF44" s="157" t="s">
        <v>21</v>
      </c>
      <c r="AG44" s="150"/>
      <c r="AH44" s="151"/>
      <c r="AI44" s="151"/>
      <c r="AJ44" s="151"/>
      <c r="AK44" s="151"/>
      <c r="AL44" s="151"/>
      <c r="AM44" s="151"/>
      <c r="AN44" s="152"/>
      <c r="AO44" s="284">
        <f>AO40+AO42</f>
        <v>0</v>
      </c>
      <c r="AS44" s="46"/>
    </row>
    <row r="45" spans="2:49" ht="14.45" customHeight="1" thickTop="1" thickBot="1">
      <c r="B45" s="59"/>
      <c r="C45" s="59"/>
      <c r="D45" s="59"/>
      <c r="E45" s="59"/>
      <c r="F45" s="59"/>
      <c r="G45" s="59"/>
      <c r="H45" s="59"/>
      <c r="I45" s="59"/>
      <c r="J45" s="106"/>
      <c r="K45" s="106"/>
      <c r="L45" s="106"/>
      <c r="M45" s="106"/>
      <c r="N45" s="106"/>
      <c r="O45" s="134"/>
      <c r="P45" s="134"/>
      <c r="Q45" s="134"/>
      <c r="R45" s="134"/>
      <c r="S45" s="73"/>
      <c r="T45" s="59"/>
      <c r="U45" s="59"/>
      <c r="V45" s="59"/>
      <c r="W45" s="59"/>
      <c r="X45" s="59"/>
      <c r="Y45" s="59"/>
      <c r="Z45" s="59"/>
      <c r="AA45" s="59"/>
      <c r="AB45" s="59"/>
      <c r="AC45" s="11"/>
      <c r="AE45" s="132"/>
      <c r="AF45" s="158"/>
      <c r="AG45" s="153"/>
      <c r="AH45" s="154"/>
      <c r="AI45" s="154"/>
      <c r="AJ45" s="154"/>
      <c r="AK45" s="154"/>
      <c r="AL45" s="154"/>
      <c r="AM45" s="154"/>
      <c r="AN45" s="155"/>
      <c r="AO45" s="285"/>
    </row>
    <row r="46" spans="2:49" ht="49.15" customHeight="1">
      <c r="B46" s="59"/>
      <c r="C46" s="59"/>
      <c r="D46" s="59"/>
      <c r="E46" s="59"/>
      <c r="F46" s="59"/>
      <c r="G46" s="59"/>
      <c r="H46" s="59"/>
      <c r="I46" s="59"/>
      <c r="J46" s="133"/>
      <c r="K46" s="133"/>
      <c r="L46" s="133"/>
      <c r="M46" s="133"/>
      <c r="N46" s="133"/>
      <c r="O46" s="133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11"/>
      <c r="AG46" s="16"/>
      <c r="AH46" s="14"/>
      <c r="AI46" s="14"/>
      <c r="AJ46" s="14"/>
      <c r="AK46" s="14"/>
      <c r="AL46" s="17"/>
      <c r="AM46" s="17"/>
    </row>
    <row r="47" spans="2:49" ht="12.6" customHeight="1" thickBot="1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11"/>
      <c r="AF47" s="24" t="s">
        <v>119</v>
      </c>
      <c r="AG47" s="25">
        <f>COUNT(G40)</f>
        <v>0</v>
      </c>
      <c r="AH47" s="14"/>
      <c r="AI47" s="14"/>
      <c r="AJ47" s="14"/>
      <c r="AK47" s="14"/>
      <c r="AL47" s="17"/>
      <c r="AM47" s="96" t="s">
        <v>89</v>
      </c>
      <c r="AN47" s="97">
        <f>COUNTIF(AE26:AE45,"〇")</f>
        <v>0</v>
      </c>
    </row>
    <row r="48" spans="2:49" ht="30" customHeight="1" thickTop="1" thickBot="1">
      <c r="B48" s="59"/>
      <c r="C48" s="59"/>
      <c r="D48" s="59"/>
      <c r="E48" s="59"/>
      <c r="F48" s="59"/>
      <c r="G48" s="125"/>
      <c r="H48" s="125"/>
      <c r="I48" s="125"/>
      <c r="J48" s="159" t="s">
        <v>70</v>
      </c>
      <c r="K48" s="160"/>
      <c r="L48" s="160"/>
      <c r="M48" s="160"/>
      <c r="N48" s="160"/>
      <c r="O48" s="165" t="s">
        <v>74</v>
      </c>
      <c r="P48" s="166"/>
      <c r="Q48" s="166"/>
      <c r="R48" s="166"/>
      <c r="S48" s="167"/>
      <c r="T48" s="102" t="s">
        <v>72</v>
      </c>
      <c r="U48" s="102"/>
      <c r="V48" s="102"/>
      <c r="W48" s="102"/>
      <c r="X48" s="102"/>
      <c r="Y48" s="59"/>
      <c r="Z48" s="59"/>
      <c r="AA48" s="59"/>
      <c r="AB48" s="59"/>
      <c r="AC48" s="92" t="s">
        <v>118</v>
      </c>
      <c r="AD48" s="93">
        <f>AO44</f>
        <v>0</v>
      </c>
      <c r="AG48" s="16"/>
      <c r="AH48" s="14"/>
      <c r="AI48" s="14"/>
      <c r="AJ48" s="14"/>
      <c r="AK48" s="14"/>
    </row>
    <row r="49" spans="2:42" ht="22.5" customHeight="1" thickTop="1" thickBot="1">
      <c r="B49" s="59"/>
      <c r="C49" s="59"/>
      <c r="D49" s="59"/>
      <c r="E49" s="59"/>
      <c r="F49" s="59"/>
      <c r="G49" s="125" t="s">
        <v>40</v>
      </c>
      <c r="H49" s="125"/>
      <c r="I49" s="125"/>
      <c r="J49" s="105">
        <f>ROUNDDOWN(O44*(新税率!B4),0)</f>
        <v>0</v>
      </c>
      <c r="K49" s="135"/>
      <c r="L49" s="135"/>
      <c r="M49" s="135"/>
      <c r="N49" s="77" t="s">
        <v>0</v>
      </c>
      <c r="O49" s="103">
        <f>ROUNDDOWN(O44*(新税率!C4),0)</f>
        <v>0</v>
      </c>
      <c r="P49" s="104"/>
      <c r="Q49" s="104"/>
      <c r="R49" s="105"/>
      <c r="S49" s="77" t="s">
        <v>0</v>
      </c>
      <c r="T49" s="135">
        <f>ROUNDDOWN(AU40*(新税率!D4),0)</f>
        <v>0</v>
      </c>
      <c r="U49" s="135"/>
      <c r="V49" s="135"/>
      <c r="W49" s="135"/>
      <c r="X49" s="77" t="s">
        <v>0</v>
      </c>
      <c r="Y49" s="59"/>
      <c r="Z49" s="59"/>
      <c r="AA49" s="59"/>
      <c r="AB49" s="59"/>
      <c r="AC49" s="11" t="s">
        <v>115</v>
      </c>
      <c r="AD49" s="14">
        <f>IF(AN47&gt;=1,430000+(AN47-1)*100000,430000)</f>
        <v>430000</v>
      </c>
      <c r="AM49" t="s">
        <v>17</v>
      </c>
      <c r="AO49" s="18"/>
      <c r="AP49" s="18"/>
    </row>
    <row r="50" spans="2:42" ht="22.5" customHeight="1" thickTop="1" thickBot="1">
      <c r="B50" s="59"/>
      <c r="C50" s="59"/>
      <c r="D50" s="59"/>
      <c r="E50" s="59"/>
      <c r="F50" s="59"/>
      <c r="G50" s="162" t="s">
        <v>41</v>
      </c>
      <c r="H50" s="163"/>
      <c r="I50" s="164"/>
      <c r="J50" s="103">
        <f>Q42*(新税率!B6)</f>
        <v>0</v>
      </c>
      <c r="K50" s="104"/>
      <c r="L50" s="104"/>
      <c r="M50" s="105"/>
      <c r="N50" s="77" t="s">
        <v>0</v>
      </c>
      <c r="O50" s="103">
        <f>Q42*(新税率!C6)</f>
        <v>0</v>
      </c>
      <c r="P50" s="104"/>
      <c r="Q50" s="104"/>
      <c r="R50" s="105"/>
      <c r="S50" s="77" t="s">
        <v>0</v>
      </c>
      <c r="T50" s="103">
        <f>Q43*(新税率!D6)</f>
        <v>0</v>
      </c>
      <c r="U50" s="104"/>
      <c r="V50" s="104"/>
      <c r="W50" s="105"/>
      <c r="X50" s="77" t="s">
        <v>0</v>
      </c>
      <c r="Y50" s="59"/>
      <c r="Z50" s="59"/>
      <c r="AA50" s="59"/>
      <c r="AB50" s="59"/>
      <c r="AC50" s="11" t="s">
        <v>116</v>
      </c>
      <c r="AD50" s="14">
        <f>IF(AN47&gt;=1,430000+(AN47-1)*100000+290000*Q42,430000+290000*Q42)</f>
        <v>430000</v>
      </c>
      <c r="AF50" t="s">
        <v>44</v>
      </c>
      <c r="AM50" s="1"/>
      <c r="AN50" s="10" t="s">
        <v>47</v>
      </c>
      <c r="AO50" s="10" t="s">
        <v>61</v>
      </c>
      <c r="AP50" s="10" t="s">
        <v>51</v>
      </c>
    </row>
    <row r="51" spans="2:42" ht="22.5" customHeight="1" thickTop="1" thickBot="1">
      <c r="B51" s="59"/>
      <c r="C51" s="59"/>
      <c r="D51" s="59"/>
      <c r="E51" s="59"/>
      <c r="F51" s="59"/>
      <c r="G51" s="125" t="s">
        <v>42</v>
      </c>
      <c r="H51" s="125"/>
      <c r="I51" s="125"/>
      <c r="J51" s="105">
        <f>IF(J50=0,0,新税率!B7)</f>
        <v>0</v>
      </c>
      <c r="K51" s="135"/>
      <c r="L51" s="135"/>
      <c r="M51" s="135"/>
      <c r="N51" s="77" t="s">
        <v>0</v>
      </c>
      <c r="O51" s="103">
        <f>IF(O50=0,0,新税率!C7)</f>
        <v>0</v>
      </c>
      <c r="P51" s="104"/>
      <c r="Q51" s="104"/>
      <c r="R51" s="105"/>
      <c r="S51" s="77" t="s">
        <v>0</v>
      </c>
      <c r="T51" s="135">
        <f>IF(AW40=0,0,新税率!D7)</f>
        <v>0</v>
      </c>
      <c r="U51" s="135"/>
      <c r="V51" s="135"/>
      <c r="W51" s="135"/>
      <c r="X51" s="77" t="s">
        <v>0</v>
      </c>
      <c r="Y51" s="59"/>
      <c r="Z51" s="59"/>
      <c r="AA51" s="59"/>
      <c r="AB51" s="59"/>
      <c r="AC51" s="11" t="s">
        <v>117</v>
      </c>
      <c r="AD51" s="14">
        <f>IF(AN47&gt;=1,430000+(AN47-1)*100000+535000*Q42,430000+535000*Q42)</f>
        <v>430000</v>
      </c>
      <c r="AF51" s="10" t="s">
        <v>25</v>
      </c>
      <c r="AG51" s="10" t="s">
        <v>95</v>
      </c>
      <c r="AH51" s="10" t="s">
        <v>26</v>
      </c>
      <c r="AI51" s="51"/>
      <c r="AJ51" s="51"/>
      <c r="AK51" s="51"/>
      <c r="AM51" s="19" t="s">
        <v>48</v>
      </c>
      <c r="AN51" s="20">
        <f>SUM(J50:M51)*新税率!B9</f>
        <v>0</v>
      </c>
      <c r="AO51" s="20">
        <f>SUM(O50:R51)*新税率!C9</f>
        <v>0</v>
      </c>
      <c r="AP51" s="20">
        <f>SUM(T50:W51)*新税率!D9</f>
        <v>0</v>
      </c>
    </row>
    <row r="52" spans="2:42" ht="22.5" customHeight="1" thickTop="1" thickBot="1">
      <c r="B52" s="59"/>
      <c r="C52" s="59"/>
      <c r="D52" s="59"/>
      <c r="E52" s="59"/>
      <c r="F52" s="59"/>
      <c r="G52" s="162" t="s">
        <v>64</v>
      </c>
      <c r="H52" s="163"/>
      <c r="I52" s="164"/>
      <c r="J52" s="137">
        <f>(AN54+AN57)*-1</f>
        <v>0</v>
      </c>
      <c r="K52" s="138"/>
      <c r="L52" s="138"/>
      <c r="M52" s="139"/>
      <c r="N52" s="78" t="s">
        <v>0</v>
      </c>
      <c r="O52" s="137">
        <f>(AO54+AO57)*-1</f>
        <v>0</v>
      </c>
      <c r="P52" s="138"/>
      <c r="Q52" s="138"/>
      <c r="R52" s="139"/>
      <c r="S52" s="79" t="s">
        <v>0</v>
      </c>
      <c r="T52" s="137">
        <f>AP54*-1</f>
        <v>0</v>
      </c>
      <c r="U52" s="138"/>
      <c r="V52" s="138"/>
      <c r="W52" s="139"/>
      <c r="X52" s="77" t="s">
        <v>0</v>
      </c>
      <c r="Y52" s="59" t="str">
        <f>IF(OR(AM54="軽減無し",M58=0),"",AM54)</f>
        <v/>
      </c>
      <c r="Z52" s="59"/>
      <c r="AA52" s="59"/>
      <c r="AB52" s="59"/>
      <c r="AC52" s="11"/>
      <c r="AF52" s="4">
        <f>SUM(J49:M52)</f>
        <v>0</v>
      </c>
      <c r="AG52" s="4">
        <f>SUM(O49:R52)</f>
        <v>0</v>
      </c>
      <c r="AH52" s="4">
        <f>SUM(T49:W52)</f>
        <v>0</v>
      </c>
      <c r="AI52" s="5"/>
      <c r="AJ52" s="5"/>
      <c r="AK52" s="5"/>
      <c r="AM52" s="19" t="s">
        <v>49</v>
      </c>
      <c r="AN52" s="20">
        <f>SUM(J50:M51)*新税率!B10</f>
        <v>0</v>
      </c>
      <c r="AO52" s="20">
        <f>SUM(O50:R51)*新税率!C10</f>
        <v>0</v>
      </c>
      <c r="AP52" s="20">
        <f>SUM(T50:W51)*新税率!D10</f>
        <v>0</v>
      </c>
    </row>
    <row r="53" spans="2:42" ht="30" customHeight="1" thickTop="1" thickBot="1">
      <c r="B53" s="59"/>
      <c r="C53" s="59"/>
      <c r="D53" s="59"/>
      <c r="E53" s="59"/>
      <c r="F53" s="59"/>
      <c r="G53" s="125" t="s">
        <v>23</v>
      </c>
      <c r="H53" s="125"/>
      <c r="I53" s="125"/>
      <c r="J53" s="116">
        <f>IF(AF55&lt;=新税率!B8,AF55,新税率!B8)</f>
        <v>0</v>
      </c>
      <c r="K53" s="117"/>
      <c r="L53" s="117"/>
      <c r="M53" s="117"/>
      <c r="N53" s="80" t="s">
        <v>0</v>
      </c>
      <c r="O53" s="118">
        <f>IF(AG55&lt;=新税率!C8,AG55,新税率!C8)</f>
        <v>0</v>
      </c>
      <c r="P53" s="119"/>
      <c r="Q53" s="119"/>
      <c r="R53" s="120"/>
      <c r="S53" s="81" t="s">
        <v>0</v>
      </c>
      <c r="T53" s="156">
        <f>IF(AH55&lt;=新税率!D8,AH55,新税率!D8)</f>
        <v>0</v>
      </c>
      <c r="U53" s="156"/>
      <c r="V53" s="156"/>
      <c r="W53" s="156"/>
      <c r="X53" s="82" t="s">
        <v>0</v>
      </c>
      <c r="Y53" s="59" t="s">
        <v>113</v>
      </c>
      <c r="Z53" s="59"/>
      <c r="AA53" s="59"/>
      <c r="AB53" s="59"/>
      <c r="AC53" s="11"/>
      <c r="AF53" s="5" t="s">
        <v>45</v>
      </c>
      <c r="AG53" s="5"/>
      <c r="AM53" s="19" t="s">
        <v>50</v>
      </c>
      <c r="AN53" s="20">
        <f>SUM(J50:M51)*新税率!B11</f>
        <v>0</v>
      </c>
      <c r="AO53" s="20">
        <f>SUM(O50:R51)*新税率!C11</f>
        <v>0</v>
      </c>
      <c r="AP53" s="20">
        <f>SUM(T50:W51)*新税率!D11</f>
        <v>0</v>
      </c>
    </row>
    <row r="54" spans="2:42" ht="14.25" thickTop="1">
      <c r="B54" s="59"/>
      <c r="C54" s="59"/>
      <c r="D54" s="59"/>
      <c r="E54" s="59"/>
      <c r="F54" s="59"/>
      <c r="G54" s="87"/>
      <c r="H54" s="74"/>
      <c r="I54" s="74"/>
      <c r="J54" s="86"/>
      <c r="K54" s="83"/>
      <c r="L54" s="83"/>
      <c r="M54" s="83"/>
      <c r="N54" s="84"/>
      <c r="O54" s="83"/>
      <c r="P54" s="83"/>
      <c r="Q54" s="83"/>
      <c r="R54" s="83"/>
      <c r="S54" s="84"/>
      <c r="T54" s="59"/>
      <c r="U54" s="59"/>
      <c r="V54" s="59"/>
      <c r="W54" s="59"/>
      <c r="X54" s="59"/>
      <c r="Y54" s="59"/>
      <c r="Z54" s="59"/>
      <c r="AA54" s="59"/>
      <c r="AB54" s="59"/>
      <c r="AC54" s="11"/>
      <c r="AF54" s="10" t="s">
        <v>25</v>
      </c>
      <c r="AG54" s="10" t="s">
        <v>95</v>
      </c>
      <c r="AH54" s="10" t="s">
        <v>26</v>
      </c>
      <c r="AI54" s="51"/>
      <c r="AJ54" s="51"/>
      <c r="AK54" s="51"/>
      <c r="AM54" s="21" t="str">
        <f>IF(AN47&gt;=1,IF(AO44&lt;=430000+(AN47-1)*100000,"７割軽減",IF(AO44&lt;=430000+(AN47-1)*100000+285000*Q42,"５割軽減",IF(AO44&lt;=430000+(AN47-1)*100000+520000*Q42,"２割軽減","軽減無し"))),IF(AO44&lt;=430000,"７割軽減",IF(AO44&lt;=430000+285000*Q42,"５割軽減",IF(AO44&lt;=430000+520000*Q42,"２割軽減","軽減無し"))))</f>
        <v>７割軽減</v>
      </c>
      <c r="AN54" s="22">
        <f>IFERROR(VLOOKUP($AM$54,$AM$51:$AP$53,2,FALSE),0)</f>
        <v>0</v>
      </c>
      <c r="AO54" s="22">
        <f>IFERROR(VLOOKUP($AM$54,$AM$51:$AP$53,3,FALSE),0)</f>
        <v>0</v>
      </c>
      <c r="AP54" s="22">
        <f>IFERROR(VLOOKUP($AM$54,$AM$51:$AP$53,4,FALSE),0)</f>
        <v>0</v>
      </c>
    </row>
    <row r="55" spans="2:42">
      <c r="B55" s="59"/>
      <c r="C55" s="59"/>
      <c r="D55" s="59"/>
      <c r="E55" s="59"/>
      <c r="F55" s="59"/>
      <c r="G55" s="74"/>
      <c r="H55" s="74"/>
      <c r="I55" s="74"/>
      <c r="J55" s="83"/>
      <c r="K55" s="83"/>
      <c r="L55" s="83"/>
      <c r="M55" s="83"/>
      <c r="N55" s="84"/>
      <c r="O55" s="83"/>
      <c r="P55" s="83"/>
      <c r="Q55" s="83"/>
      <c r="R55" s="83"/>
      <c r="S55" s="84"/>
      <c r="T55" s="59"/>
      <c r="U55" s="59"/>
      <c r="V55" s="59"/>
      <c r="W55" s="59"/>
      <c r="X55" s="59"/>
      <c r="Y55" s="59"/>
      <c r="Z55" s="59"/>
      <c r="AA55" s="59"/>
      <c r="AB55" s="59"/>
      <c r="AC55" s="11"/>
      <c r="AF55" s="4">
        <f>ROUNDDOWN(AF52,-2)</f>
        <v>0</v>
      </c>
      <c r="AG55" s="4">
        <f>ROUNDDOWN(AG52,-2)</f>
        <v>0</v>
      </c>
      <c r="AH55" s="4">
        <f>ROUNDDOWN(AH52,-2)</f>
        <v>0</v>
      </c>
      <c r="AI55" s="5"/>
      <c r="AJ55" s="5"/>
      <c r="AK55" s="5"/>
      <c r="AM55" s="168" t="s">
        <v>129</v>
      </c>
      <c r="AN55" s="23"/>
      <c r="AO55" s="23"/>
      <c r="AP55" s="23"/>
    </row>
    <row r="56" spans="2:42">
      <c r="B56" s="59"/>
      <c r="C56" s="59"/>
      <c r="D56" s="59"/>
      <c r="E56" s="59"/>
      <c r="F56" s="59"/>
      <c r="G56" s="59"/>
      <c r="H56" s="59"/>
      <c r="I56" s="59"/>
      <c r="J56" s="115"/>
      <c r="K56" s="115"/>
      <c r="L56" s="115"/>
      <c r="M56" s="115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11"/>
      <c r="AM56" s="169"/>
    </row>
    <row r="57" spans="2:42" ht="33" customHeight="1" thickBot="1">
      <c r="B57" s="59"/>
      <c r="C57" s="59"/>
      <c r="D57" s="59"/>
      <c r="E57" s="59"/>
      <c r="F57" s="59"/>
      <c r="G57" s="161"/>
      <c r="H57" s="161"/>
      <c r="I57" s="161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11"/>
      <c r="AG57" s="15"/>
      <c r="AM57" s="1">
        <f>COUNTIF(G26:H39,"&lt;=6")</f>
        <v>0</v>
      </c>
      <c r="AN57" s="20">
        <f>IF($AM$54="７割軽減",新税率!B6*0.15*$AM$57,IF($AM$54="５割軽減",新税率!B6*0.25*$AM$57,IF($AM$54="",新税率!B6*0.4*$AM$57,新税率!B6*0.5*$AM$57)))</f>
        <v>0</v>
      </c>
      <c r="AO57" s="20">
        <f>IF($AM$54="７割軽減",新税率!C6*0.15*$AM$57,IF($AM$54="５割軽減",新税率!C6*0.25*$AM$57,新税率!C6*0.4*$AM$57))</f>
        <v>0</v>
      </c>
    </row>
    <row r="58" spans="2:42" ht="37.5" customHeight="1" thickBot="1">
      <c r="B58" s="59"/>
      <c r="C58" s="59"/>
      <c r="D58" s="59"/>
      <c r="E58" s="59"/>
      <c r="F58" s="121" t="s">
        <v>108</v>
      </c>
      <c r="G58" s="122"/>
      <c r="H58" s="122"/>
      <c r="I58" s="122"/>
      <c r="J58" s="122"/>
      <c r="K58" s="122"/>
      <c r="L58" s="83"/>
      <c r="M58" s="107">
        <f>J53+O53+T53</f>
        <v>0</v>
      </c>
      <c r="N58" s="108"/>
      <c r="O58" s="108"/>
      <c r="P58" s="108"/>
      <c r="Q58" s="108"/>
      <c r="R58" s="100" t="s">
        <v>0</v>
      </c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11"/>
      <c r="AF58" s="16"/>
      <c r="AG58" s="14"/>
    </row>
    <row r="59" spans="2:42" ht="29.25" customHeight="1">
      <c r="B59" s="59"/>
      <c r="C59" s="59"/>
      <c r="D59" s="59"/>
      <c r="E59" s="59"/>
      <c r="F59" s="123" t="s">
        <v>112</v>
      </c>
      <c r="G59" s="124"/>
      <c r="H59" s="124"/>
      <c r="I59" s="124"/>
      <c r="J59" s="124"/>
      <c r="K59" s="124"/>
      <c r="L59" s="86"/>
      <c r="M59" s="109">
        <f>M58/12</f>
        <v>0</v>
      </c>
      <c r="N59" s="110"/>
      <c r="O59" s="110"/>
      <c r="P59" s="110"/>
      <c r="Q59" s="110"/>
      <c r="R59" s="101" t="s"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11"/>
      <c r="AF59" s="16"/>
      <c r="AG59" s="14"/>
    </row>
    <row r="60" spans="2:42" ht="26.25" customHeight="1">
      <c r="B60" s="59"/>
      <c r="C60" s="59"/>
      <c r="D60" s="59"/>
      <c r="E60" s="59"/>
      <c r="F60" s="71"/>
      <c r="G60" s="85"/>
      <c r="H60" s="85"/>
      <c r="I60" s="85"/>
      <c r="J60" s="85"/>
      <c r="K60" s="85"/>
      <c r="L60" s="86"/>
      <c r="M60" s="86"/>
      <c r="N60" s="87"/>
      <c r="O60" s="87"/>
      <c r="P60" s="87"/>
      <c r="Q60" s="88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11"/>
      <c r="AF60" s="16"/>
      <c r="AG60" s="14"/>
    </row>
    <row r="61" spans="2:42" ht="23.25" customHeight="1">
      <c r="B61" s="59"/>
      <c r="C61" s="59"/>
      <c r="D61" s="59"/>
      <c r="E61" s="59"/>
      <c r="F61" s="71" t="s">
        <v>111</v>
      </c>
      <c r="G61" s="85"/>
      <c r="H61" s="85"/>
      <c r="I61" s="126" t="s">
        <v>120</v>
      </c>
      <c r="J61" s="126"/>
      <c r="K61" s="126"/>
      <c r="L61" s="126"/>
      <c r="M61" s="126"/>
      <c r="N61" s="114">
        <f>M58-N62*7</f>
        <v>0</v>
      </c>
      <c r="O61" s="114"/>
      <c r="P61" s="114"/>
      <c r="Q61" s="94" t="s">
        <v>0</v>
      </c>
      <c r="R61" s="59"/>
      <c r="S61" s="59"/>
      <c r="T61" s="69"/>
      <c r="U61" s="69"/>
      <c r="V61" s="69"/>
      <c r="W61" s="69"/>
      <c r="X61" s="69"/>
      <c r="Y61" s="69"/>
      <c r="Z61" s="69"/>
      <c r="AA61" s="69"/>
      <c r="AB61" s="59"/>
      <c r="AC61" s="11"/>
      <c r="AF61" s="91"/>
      <c r="AG61" s="14"/>
      <c r="AI61" s="31"/>
    </row>
    <row r="62" spans="2:42" ht="23.25" customHeight="1">
      <c r="B62" s="59"/>
      <c r="C62" s="59"/>
      <c r="D62" s="59"/>
      <c r="E62" s="59"/>
      <c r="F62" s="59"/>
      <c r="G62" s="59"/>
      <c r="H62" s="59"/>
      <c r="I62" s="136" t="s">
        <v>121</v>
      </c>
      <c r="J62" s="136"/>
      <c r="K62" s="136"/>
      <c r="L62" s="136"/>
      <c r="M62" s="136"/>
      <c r="N62" s="145">
        <f>ROUNDDOWN($M$58/8,-3)</f>
        <v>0</v>
      </c>
      <c r="O62" s="145"/>
      <c r="P62" s="145"/>
      <c r="Q62" s="95" t="s">
        <v>0</v>
      </c>
      <c r="R62" s="59"/>
      <c r="S62" s="59"/>
      <c r="T62" s="69"/>
      <c r="U62" s="69"/>
      <c r="V62" s="69"/>
      <c r="W62" s="69"/>
      <c r="X62" s="69"/>
      <c r="Y62" s="69"/>
      <c r="Z62" s="69"/>
      <c r="AA62" s="69"/>
      <c r="AB62" s="59"/>
      <c r="AC62" s="6"/>
      <c r="AF62" s="91"/>
      <c r="AG62" s="14"/>
      <c r="AH62" s="31"/>
      <c r="AI62" s="31"/>
      <c r="AJ62" s="31"/>
      <c r="AK62" s="31"/>
    </row>
    <row r="63" spans="2:42" ht="23.25" customHeight="1">
      <c r="B63" s="59"/>
      <c r="C63" s="59"/>
      <c r="D63" s="59"/>
      <c r="E63" s="59"/>
      <c r="F63" s="59"/>
      <c r="G63" s="59"/>
      <c r="H63" s="59"/>
      <c r="I63" s="126" t="s">
        <v>122</v>
      </c>
      <c r="J63" s="126"/>
      <c r="K63" s="126"/>
      <c r="L63" s="126"/>
      <c r="M63" s="126"/>
      <c r="N63" s="114">
        <f t="shared" ref="N63:N68" si="23">ROUNDDOWN($M$58/8,-3)</f>
        <v>0</v>
      </c>
      <c r="O63" s="114"/>
      <c r="P63" s="114"/>
      <c r="Q63" s="94" t="s">
        <v>0</v>
      </c>
      <c r="R63" s="59"/>
      <c r="S63" s="59"/>
      <c r="T63" s="69"/>
      <c r="U63" s="69"/>
      <c r="V63" s="69"/>
      <c r="W63" s="69"/>
      <c r="X63" s="69"/>
      <c r="Y63" s="69"/>
      <c r="Z63" s="69"/>
      <c r="AA63" s="69"/>
      <c r="AB63" s="59"/>
      <c r="AC63" s="6"/>
      <c r="AF63" s="91"/>
      <c r="AG63" s="14"/>
      <c r="AH63" s="31"/>
      <c r="AI63" s="31"/>
      <c r="AJ63" s="31"/>
      <c r="AK63" s="31"/>
    </row>
    <row r="64" spans="2:42" ht="23.25" customHeight="1">
      <c r="B64" s="59"/>
      <c r="C64" s="59"/>
      <c r="D64" s="59"/>
      <c r="E64" s="59"/>
      <c r="F64" s="59"/>
      <c r="G64" s="59"/>
      <c r="H64" s="59"/>
      <c r="I64" s="136" t="s">
        <v>123</v>
      </c>
      <c r="J64" s="136"/>
      <c r="K64" s="136"/>
      <c r="L64" s="136"/>
      <c r="M64" s="136"/>
      <c r="N64" s="145">
        <f t="shared" si="23"/>
        <v>0</v>
      </c>
      <c r="O64" s="145"/>
      <c r="P64" s="145"/>
      <c r="Q64" s="95" t="s">
        <v>0</v>
      </c>
      <c r="R64" s="59"/>
      <c r="S64" s="59"/>
      <c r="T64" s="69"/>
      <c r="U64" s="69"/>
      <c r="V64" s="69"/>
      <c r="W64" s="69"/>
      <c r="X64" s="69"/>
      <c r="Y64" s="69"/>
      <c r="Z64" s="69"/>
      <c r="AA64" s="69"/>
      <c r="AB64" s="59"/>
      <c r="AC64" s="6"/>
      <c r="AF64" s="91"/>
      <c r="AG64" s="14"/>
      <c r="AH64" s="31"/>
      <c r="AI64" s="31"/>
      <c r="AJ64" s="31"/>
      <c r="AK64" s="31"/>
    </row>
    <row r="65" spans="2:37" ht="23.25" customHeight="1">
      <c r="B65" s="59"/>
      <c r="C65" s="59"/>
      <c r="D65" s="59"/>
      <c r="E65" s="59"/>
      <c r="F65" s="59"/>
      <c r="G65" s="59"/>
      <c r="H65" s="59"/>
      <c r="I65" s="136" t="s">
        <v>124</v>
      </c>
      <c r="J65" s="136"/>
      <c r="K65" s="136"/>
      <c r="L65" s="136"/>
      <c r="M65" s="136"/>
      <c r="N65" s="145">
        <f t="shared" si="23"/>
        <v>0</v>
      </c>
      <c r="O65" s="145"/>
      <c r="P65" s="145"/>
      <c r="Q65" s="95" t="s">
        <v>0</v>
      </c>
      <c r="R65" s="59"/>
      <c r="S65" s="59"/>
      <c r="T65" s="69"/>
      <c r="U65" s="69"/>
      <c r="V65" s="69"/>
      <c r="W65" s="69"/>
      <c r="X65" s="69"/>
      <c r="Y65" s="69"/>
      <c r="Z65" s="69"/>
      <c r="AA65" s="69"/>
      <c r="AB65" s="59"/>
      <c r="AC65" s="6"/>
      <c r="AF65" s="91"/>
      <c r="AG65" s="14"/>
      <c r="AH65" s="31"/>
      <c r="AI65" s="31"/>
      <c r="AJ65" s="31"/>
      <c r="AK65" s="31"/>
    </row>
    <row r="66" spans="2:37" ht="23.25" customHeight="1">
      <c r="B66" s="59"/>
      <c r="C66" s="59"/>
      <c r="D66" s="59"/>
      <c r="E66" s="59"/>
      <c r="F66" s="59"/>
      <c r="G66" s="59"/>
      <c r="H66" s="59"/>
      <c r="I66" s="136" t="s">
        <v>125</v>
      </c>
      <c r="J66" s="136"/>
      <c r="K66" s="136"/>
      <c r="L66" s="136"/>
      <c r="M66" s="136"/>
      <c r="N66" s="145">
        <f t="shared" si="23"/>
        <v>0</v>
      </c>
      <c r="O66" s="145"/>
      <c r="P66" s="145"/>
      <c r="Q66" s="95" t="s">
        <v>0</v>
      </c>
      <c r="R66" s="59"/>
      <c r="S66" s="59"/>
      <c r="T66" s="69"/>
      <c r="U66" s="69"/>
      <c r="V66" s="69"/>
      <c r="W66" s="69"/>
      <c r="X66" s="69"/>
      <c r="Y66" s="69"/>
      <c r="Z66" s="69"/>
      <c r="AA66" s="69"/>
      <c r="AB66" s="59"/>
      <c r="AC66" s="6"/>
      <c r="AF66" s="91"/>
      <c r="AG66" s="14"/>
      <c r="AH66" s="31"/>
      <c r="AI66" s="31"/>
      <c r="AJ66" s="31"/>
      <c r="AK66" s="31"/>
    </row>
    <row r="67" spans="2:37" ht="23.25" customHeight="1">
      <c r="B67" s="59"/>
      <c r="C67" s="59"/>
      <c r="D67" s="59"/>
      <c r="E67" s="59"/>
      <c r="F67" s="59"/>
      <c r="G67" s="59"/>
      <c r="H67" s="59"/>
      <c r="I67" s="136" t="s">
        <v>126</v>
      </c>
      <c r="J67" s="136"/>
      <c r="K67" s="136"/>
      <c r="L67" s="136"/>
      <c r="M67" s="136"/>
      <c r="N67" s="145">
        <f t="shared" si="23"/>
        <v>0</v>
      </c>
      <c r="O67" s="145"/>
      <c r="P67" s="145"/>
      <c r="Q67" s="95" t="s">
        <v>0</v>
      </c>
      <c r="R67" s="59"/>
      <c r="S67" s="59"/>
      <c r="T67" s="69"/>
      <c r="U67" s="69"/>
      <c r="V67" s="69"/>
      <c r="W67" s="69"/>
      <c r="X67" s="69"/>
      <c r="Y67" s="69"/>
      <c r="Z67" s="69"/>
      <c r="AA67" s="69"/>
      <c r="AB67" s="59"/>
      <c r="AC67" s="6"/>
      <c r="AF67" s="91"/>
      <c r="AG67" s="14"/>
      <c r="AH67" s="31"/>
      <c r="AI67" s="31"/>
      <c r="AJ67" s="31"/>
      <c r="AK67" s="31"/>
    </row>
    <row r="68" spans="2:37" ht="23.25" customHeight="1">
      <c r="B68" s="59"/>
      <c r="C68" s="59"/>
      <c r="D68" s="59"/>
      <c r="E68" s="59"/>
      <c r="F68" s="59"/>
      <c r="I68" s="136" t="s">
        <v>127</v>
      </c>
      <c r="J68" s="136"/>
      <c r="K68" s="136"/>
      <c r="L68" s="136"/>
      <c r="M68" s="136"/>
      <c r="N68" s="145">
        <f t="shared" si="23"/>
        <v>0</v>
      </c>
      <c r="O68" s="145"/>
      <c r="P68" s="145"/>
      <c r="Q68" s="95" t="s">
        <v>0</v>
      </c>
      <c r="T68" s="69"/>
      <c r="U68" s="69"/>
      <c r="V68" s="69"/>
      <c r="W68" s="69"/>
      <c r="X68" s="69"/>
      <c r="Y68" s="69"/>
      <c r="Z68" s="69"/>
      <c r="AA68" s="69"/>
      <c r="AB68" s="59"/>
      <c r="AC68" s="6"/>
      <c r="AF68" s="91"/>
      <c r="AG68" s="14"/>
      <c r="AH68" s="31"/>
      <c r="AI68" s="31"/>
      <c r="AJ68" s="31"/>
      <c r="AK68" s="31"/>
    </row>
    <row r="70" spans="2:37">
      <c r="N70" s="90"/>
      <c r="O70" s="90"/>
      <c r="P70" s="90"/>
    </row>
  </sheetData>
  <sheetProtection algorithmName="SHA-512" hashValue="wD2ic2SOw8l/w8eYs8bXeGb2E3ATQiGO/A/09mJQ3+52rvERgz5APlzcyQyOrtPsioj+HTPLpgoEKI2FIPsN3w==" saltValue="R5HYlFVuTu80bI47OQT3KA==" spinCount="100000" sheet="1" objects="1" scenarios="1"/>
  <mergeCells count="316">
    <mergeCell ref="AO26:AO27"/>
    <mergeCell ref="AO28:AO29"/>
    <mergeCell ref="AQ40:AQ41"/>
    <mergeCell ref="AR40:AR41"/>
    <mergeCell ref="AO44:AO45"/>
    <mergeCell ref="AO40:AO41"/>
    <mergeCell ref="AK42:AK43"/>
    <mergeCell ref="AO30:AO31"/>
    <mergeCell ref="AO32:AO33"/>
    <mergeCell ref="AO34:AO35"/>
    <mergeCell ref="AO36:AO37"/>
    <mergeCell ref="AP32:AP33"/>
    <mergeCell ref="AK30:AK31"/>
    <mergeCell ref="AK32:AK33"/>
    <mergeCell ref="AK34:AK35"/>
    <mergeCell ref="AO38:AO39"/>
    <mergeCell ref="AP40:AP41"/>
    <mergeCell ref="AP36:AP37"/>
    <mergeCell ref="AP34:AP35"/>
    <mergeCell ref="AP38:AP39"/>
    <mergeCell ref="AN26:AN27"/>
    <mergeCell ref="AN28:AN29"/>
    <mergeCell ref="AN30:AN31"/>
    <mergeCell ref="AL42:AL43"/>
    <mergeCell ref="AT26:AT27"/>
    <mergeCell ref="AT28:AT29"/>
    <mergeCell ref="AU30:AU31"/>
    <mergeCell ref="AT34:AT35"/>
    <mergeCell ref="AU28:AU29"/>
    <mergeCell ref="AS40:AS41"/>
    <mergeCell ref="AS42:AS43"/>
    <mergeCell ref="AO42:AO43"/>
    <mergeCell ref="AS30:AS31"/>
    <mergeCell ref="AP28:AP29"/>
    <mergeCell ref="AP30:AP31"/>
    <mergeCell ref="AT36:AT37"/>
    <mergeCell ref="AU36:AU37"/>
    <mergeCell ref="AR36:AR37"/>
    <mergeCell ref="AQ36:AQ37"/>
    <mergeCell ref="AU32:AU33"/>
    <mergeCell ref="AS36:AS37"/>
    <mergeCell ref="AS38:AS39"/>
    <mergeCell ref="AT30:AT31"/>
    <mergeCell ref="AT32:AT33"/>
    <mergeCell ref="AQ38:AQ39"/>
    <mergeCell ref="AU38:AU39"/>
    <mergeCell ref="AR38:AR39"/>
    <mergeCell ref="AU34:AU35"/>
    <mergeCell ref="AV28:AV29"/>
    <mergeCell ref="AW36:AW37"/>
    <mergeCell ref="AW38:AW39"/>
    <mergeCell ref="AW30:AW31"/>
    <mergeCell ref="AW26:AW27"/>
    <mergeCell ref="AW28:AW29"/>
    <mergeCell ref="AV26:AV27"/>
    <mergeCell ref="AV32:AV33"/>
    <mergeCell ref="AV30:AV31"/>
    <mergeCell ref="AV38:AV39"/>
    <mergeCell ref="AV34:AV35"/>
    <mergeCell ref="AW34:AW35"/>
    <mergeCell ref="AW32:AW33"/>
    <mergeCell ref="AV36:AV37"/>
    <mergeCell ref="AQ30:AQ31"/>
    <mergeCell ref="AQ34:AQ35"/>
    <mergeCell ref="AR32:AR33"/>
    <mergeCell ref="AQ32:AQ33"/>
    <mergeCell ref="AR30:AR31"/>
    <mergeCell ref="AS32:AS33"/>
    <mergeCell ref="AS26:AS27"/>
    <mergeCell ref="AS34:AS35"/>
    <mergeCell ref="AR26:AR27"/>
    <mergeCell ref="AQ26:AQ27"/>
    <mergeCell ref="AR28:AR29"/>
    <mergeCell ref="AQ28:AQ29"/>
    <mergeCell ref="AS28:AS29"/>
    <mergeCell ref="AR34:AR35"/>
    <mergeCell ref="O22:S23"/>
    <mergeCell ref="AT38:AT39"/>
    <mergeCell ref="AU26:AU27"/>
    <mergeCell ref="AN36:AN37"/>
    <mergeCell ref="J30:M31"/>
    <mergeCell ref="N30:N31"/>
    <mergeCell ref="AN32:AN33"/>
    <mergeCell ref="Y34:AA35"/>
    <mergeCell ref="Y30:AA31"/>
    <mergeCell ref="AM36:AM37"/>
    <mergeCell ref="S34:S35"/>
    <mergeCell ref="AN34:AN35"/>
    <mergeCell ref="AB32:AB33"/>
    <mergeCell ref="AB34:AB35"/>
    <mergeCell ref="AD30:AD31"/>
    <mergeCell ref="AE36:AE37"/>
    <mergeCell ref="AE30:AE31"/>
    <mergeCell ref="AE32:AE33"/>
    <mergeCell ref="AE34:AE35"/>
    <mergeCell ref="T36:W37"/>
    <mergeCell ref="T30:W31"/>
    <mergeCell ref="X30:X31"/>
    <mergeCell ref="AP26:AP27"/>
    <mergeCell ref="AL26:AL27"/>
    <mergeCell ref="S26:S27"/>
    <mergeCell ref="X26:X27"/>
    <mergeCell ref="J24:N25"/>
    <mergeCell ref="O24:S25"/>
    <mergeCell ref="O30:R31"/>
    <mergeCell ref="I30:I31"/>
    <mergeCell ref="O32:R33"/>
    <mergeCell ref="S30:S31"/>
    <mergeCell ref="T32:W33"/>
    <mergeCell ref="I26:I27"/>
    <mergeCell ref="I28:I29"/>
    <mergeCell ref="I32:I33"/>
    <mergeCell ref="X28:X29"/>
    <mergeCell ref="O28:R29"/>
    <mergeCell ref="J32:M33"/>
    <mergeCell ref="N32:N33"/>
    <mergeCell ref="O26:R27"/>
    <mergeCell ref="T26:W27"/>
    <mergeCell ref="X32:X33"/>
    <mergeCell ref="G30:H31"/>
    <mergeCell ref="G32:H33"/>
    <mergeCell ref="G34:H35"/>
    <mergeCell ref="G36:H37"/>
    <mergeCell ref="O34:R35"/>
    <mergeCell ref="Q42:R42"/>
    <mergeCell ref="Q43:R43"/>
    <mergeCell ref="J42:P42"/>
    <mergeCell ref="J43:P43"/>
    <mergeCell ref="I38:I39"/>
    <mergeCell ref="E6:Y6"/>
    <mergeCell ref="D28:F29"/>
    <mergeCell ref="D26:F26"/>
    <mergeCell ref="D27:F27"/>
    <mergeCell ref="G22:I23"/>
    <mergeCell ref="J22:N23"/>
    <mergeCell ref="S32:S33"/>
    <mergeCell ref="N26:N27"/>
    <mergeCell ref="G26:H27"/>
    <mergeCell ref="G28:H29"/>
    <mergeCell ref="T24:X25"/>
    <mergeCell ref="J28:M29"/>
    <mergeCell ref="S28:S29"/>
    <mergeCell ref="T28:W29"/>
    <mergeCell ref="G24:I25"/>
    <mergeCell ref="D30:F31"/>
    <mergeCell ref="D22:F23"/>
    <mergeCell ref="D24:F25"/>
    <mergeCell ref="T22:X23"/>
    <mergeCell ref="D32:F33"/>
    <mergeCell ref="Y22:AB23"/>
    <mergeCell ref="Y24:AB25"/>
    <mergeCell ref="J26:M27"/>
    <mergeCell ref="N28:N29"/>
    <mergeCell ref="D34:F35"/>
    <mergeCell ref="D36:F37"/>
    <mergeCell ref="G38:H39"/>
    <mergeCell ref="S36:S37"/>
    <mergeCell ref="T38:W39"/>
    <mergeCell ref="X40:X41"/>
    <mergeCell ref="O38:R39"/>
    <mergeCell ref="J34:M35"/>
    <mergeCell ref="N34:N35"/>
    <mergeCell ref="I34:I35"/>
    <mergeCell ref="I36:I37"/>
    <mergeCell ref="O36:R37"/>
    <mergeCell ref="J36:M37"/>
    <mergeCell ref="N36:N37"/>
    <mergeCell ref="D40:F40"/>
    <mergeCell ref="D41:F41"/>
    <mergeCell ref="D38:F39"/>
    <mergeCell ref="J38:M39"/>
    <mergeCell ref="J40:M41"/>
    <mergeCell ref="I40:I41"/>
    <mergeCell ref="G40:H41"/>
    <mergeCell ref="T34:W35"/>
    <mergeCell ref="X34:X35"/>
    <mergeCell ref="S40:S41"/>
    <mergeCell ref="X38:X39"/>
    <mergeCell ref="AB36:AB37"/>
    <mergeCell ref="Y38:AA39"/>
    <mergeCell ref="X36:X37"/>
    <mergeCell ref="Y36:AA37"/>
    <mergeCell ref="AB38:AB39"/>
    <mergeCell ref="AI36:AI37"/>
    <mergeCell ref="AI38:AI39"/>
    <mergeCell ref="AF38:AF39"/>
    <mergeCell ref="AE38:AE39"/>
    <mergeCell ref="AD38:AD39"/>
    <mergeCell ref="AD36:AD37"/>
    <mergeCell ref="AB40:AB41"/>
    <mergeCell ref="AM42:AM43"/>
    <mergeCell ref="AN42:AN43"/>
    <mergeCell ref="AM26:AM27"/>
    <mergeCell ref="AM28:AM29"/>
    <mergeCell ref="AM30:AM31"/>
    <mergeCell ref="AL28:AL29"/>
    <mergeCell ref="AL30:AL31"/>
    <mergeCell ref="AL32:AL33"/>
    <mergeCell ref="AL34:AL35"/>
    <mergeCell ref="AL36:AL37"/>
    <mergeCell ref="AM38:AM39"/>
    <mergeCell ref="AK36:AK37"/>
    <mergeCell ref="AH36:AH37"/>
    <mergeCell ref="AJ26:AJ27"/>
    <mergeCell ref="AJ28:AJ29"/>
    <mergeCell ref="AJ30:AJ31"/>
    <mergeCell ref="AJ32:AJ33"/>
    <mergeCell ref="AJ34:AJ35"/>
    <mergeCell ref="AN38:AN39"/>
    <mergeCell ref="AM32:AM33"/>
    <mergeCell ref="AM34:AM35"/>
    <mergeCell ref="AK26:AK27"/>
    <mergeCell ref="AI26:AI27"/>
    <mergeCell ref="Y26:AA27"/>
    <mergeCell ref="AB28:AB29"/>
    <mergeCell ref="Y28:AA29"/>
    <mergeCell ref="AH26:AH27"/>
    <mergeCell ref="AD26:AD27"/>
    <mergeCell ref="AB26:AB27"/>
    <mergeCell ref="AD34:AD35"/>
    <mergeCell ref="AE28:AE29"/>
    <mergeCell ref="AB30:AB31"/>
    <mergeCell ref="Y32:AA33"/>
    <mergeCell ref="AD28:AD29"/>
    <mergeCell ref="AF32:AF33"/>
    <mergeCell ref="AF34:AF35"/>
    <mergeCell ref="AE26:AE27"/>
    <mergeCell ref="AF30:AF31"/>
    <mergeCell ref="AF26:AF27"/>
    <mergeCell ref="AF28:AF29"/>
    <mergeCell ref="AD32:AD33"/>
    <mergeCell ref="AE42:AE43"/>
    <mergeCell ref="AH42:AH43"/>
    <mergeCell ref="AF42:AF43"/>
    <mergeCell ref="AH38:AH39"/>
    <mergeCell ref="AF40:AF41"/>
    <mergeCell ref="AI28:AI29"/>
    <mergeCell ref="AI30:AI31"/>
    <mergeCell ref="AI32:AI33"/>
    <mergeCell ref="AI34:AI35"/>
    <mergeCell ref="AH30:AH31"/>
    <mergeCell ref="AH28:AH29"/>
    <mergeCell ref="AG40:AN41"/>
    <mergeCell ref="AJ38:AJ39"/>
    <mergeCell ref="AJ42:AJ43"/>
    <mergeCell ref="AI42:AI43"/>
    <mergeCell ref="AF36:AF37"/>
    <mergeCell ref="AK28:AK29"/>
    <mergeCell ref="AL38:AL39"/>
    <mergeCell ref="AJ36:AJ37"/>
    <mergeCell ref="AK38:AK39"/>
    <mergeCell ref="AH32:AH33"/>
    <mergeCell ref="AH34:AH35"/>
    <mergeCell ref="AG44:AN45"/>
    <mergeCell ref="I67:M67"/>
    <mergeCell ref="I68:M68"/>
    <mergeCell ref="N66:P66"/>
    <mergeCell ref="N67:P67"/>
    <mergeCell ref="N68:P68"/>
    <mergeCell ref="T53:W53"/>
    <mergeCell ref="T49:W49"/>
    <mergeCell ref="T50:W50"/>
    <mergeCell ref="AF44:AF45"/>
    <mergeCell ref="J48:N48"/>
    <mergeCell ref="G57:I57"/>
    <mergeCell ref="J49:M49"/>
    <mergeCell ref="J50:M50"/>
    <mergeCell ref="G52:I52"/>
    <mergeCell ref="J52:M52"/>
    <mergeCell ref="O52:R52"/>
    <mergeCell ref="G49:I49"/>
    <mergeCell ref="O48:S48"/>
    <mergeCell ref="G50:I50"/>
    <mergeCell ref="G51:I51"/>
    <mergeCell ref="AM55:AM56"/>
    <mergeCell ref="AE44:AE45"/>
    <mergeCell ref="G48:I48"/>
    <mergeCell ref="T40:W41"/>
    <mergeCell ref="N38:N39"/>
    <mergeCell ref="S38:S39"/>
    <mergeCell ref="AE40:AE41"/>
    <mergeCell ref="J46:O46"/>
    <mergeCell ref="O45:R45"/>
    <mergeCell ref="T51:W51"/>
    <mergeCell ref="I66:M66"/>
    <mergeCell ref="T52:W52"/>
    <mergeCell ref="AD40:AD41"/>
    <mergeCell ref="Y40:AA41"/>
    <mergeCell ref="N62:P62"/>
    <mergeCell ref="N63:P63"/>
    <mergeCell ref="N64:P64"/>
    <mergeCell ref="N65:P65"/>
    <mergeCell ref="I62:M62"/>
    <mergeCell ref="I63:M63"/>
    <mergeCell ref="I64:M64"/>
    <mergeCell ref="I65:M65"/>
    <mergeCell ref="O40:R41"/>
    <mergeCell ref="O44:R44"/>
    <mergeCell ref="O49:R49"/>
    <mergeCell ref="J51:M51"/>
    <mergeCell ref="N40:N41"/>
    <mergeCell ref="T48:X48"/>
    <mergeCell ref="O50:R50"/>
    <mergeCell ref="O51:R51"/>
    <mergeCell ref="J45:N45"/>
    <mergeCell ref="M58:Q58"/>
    <mergeCell ref="M59:Q59"/>
    <mergeCell ref="J44:N44"/>
    <mergeCell ref="N61:P61"/>
    <mergeCell ref="J56:M56"/>
    <mergeCell ref="J53:M53"/>
    <mergeCell ref="O53:R53"/>
    <mergeCell ref="F58:K58"/>
    <mergeCell ref="F59:K59"/>
    <mergeCell ref="G53:I53"/>
    <mergeCell ref="I61:M61"/>
  </mergeCells>
  <phoneticPr fontId="2"/>
  <conditionalFormatting sqref="Y26:AB41">
    <cfRule type="expression" dxfId="0" priority="1" stopIfTrue="1">
      <formula>$J26&gt;=8500001</formula>
    </cfRule>
  </conditionalFormatting>
  <dataValidations count="2">
    <dataValidation imeMode="disabled" allowBlank="1" showInputMessage="1" showErrorMessage="1" sqref="T26:W41 J26:M41 O26:R41 G40:H41" xr:uid="{17595B19-344F-407F-8CA3-BBEAFFD005A7}"/>
    <dataValidation type="whole" imeMode="disabled" operator="lessThan" allowBlank="1" showInputMessage="1" showErrorMessage="1" errorTitle="年齢入力エラー" error="国保加入者の年齢は74歳以下で入力してください。" sqref="G26:H39" xr:uid="{E9EEAE0B-8E6C-4517-A798-D59712F75ECB}">
      <formula1>75</formula1>
    </dataValidation>
  </dataValidations>
  <pageMargins left="0.39370078740157483" right="0.15748031496062992" top="0.78740157480314965" bottom="0.78740157480314965" header="0.51181102362204722" footer="0.51181102362204722"/>
  <pageSetup paperSize="9" scale="98" orientation="portrait" r:id="rId1"/>
  <headerFooter alignWithMargins="0">
    <oddHeader>&amp;R&amp;D</oddHeader>
  </headerFooter>
  <rowBreaks count="1" manualBreakCount="1">
    <brk id="45" max="2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8" r:id="rId4" name="Check Box 1842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25</xdr:row>
                    <xdr:rowOff>19050</xdr:rowOff>
                  </from>
                  <to>
                    <xdr:col>27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" r:id="rId5" name="Check Box 1843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27</xdr:row>
                    <xdr:rowOff>19050</xdr:rowOff>
                  </from>
                  <to>
                    <xdr:col>27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" r:id="rId6" name="Check Box 1844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19050</xdr:rowOff>
                  </from>
                  <to>
                    <xdr:col>27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" r:id="rId7" name="Check Box 1845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31</xdr:row>
                    <xdr:rowOff>19050</xdr:rowOff>
                  </from>
                  <to>
                    <xdr:col>27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" r:id="rId8" name="Check Box 1846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33</xdr:row>
                    <xdr:rowOff>19050</xdr:rowOff>
                  </from>
                  <to>
                    <xdr:col>27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" r:id="rId9" name="Check Box 1847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35</xdr:row>
                    <xdr:rowOff>19050</xdr:rowOff>
                  </from>
                  <to>
                    <xdr:col>27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" r:id="rId10" name="Check Box 1848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37</xdr:row>
                    <xdr:rowOff>19050</xdr:rowOff>
                  </from>
                  <to>
                    <xdr:col>27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" r:id="rId11" name="Check Box 1849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39</xdr:row>
                    <xdr:rowOff>19050</xdr:rowOff>
                  </from>
                  <to>
                    <xdr:col>27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2"/>
  <sheetViews>
    <sheetView workbookViewId="0">
      <selection activeCell="J30" sqref="J30:M31"/>
    </sheetView>
  </sheetViews>
  <sheetFormatPr defaultRowHeight="13.5"/>
  <sheetData>
    <row r="1" spans="1:4">
      <c r="A1" t="s">
        <v>12</v>
      </c>
    </row>
    <row r="2" spans="1:4">
      <c r="A2" s="1"/>
      <c r="B2" s="1" t="s">
        <v>3</v>
      </c>
      <c r="C2" s="1" t="s">
        <v>29</v>
      </c>
      <c r="D2" s="1" t="s">
        <v>4</v>
      </c>
    </row>
    <row r="3" spans="1:4">
      <c r="A3" s="1" t="s">
        <v>13</v>
      </c>
      <c r="B3" s="1">
        <v>430000</v>
      </c>
      <c r="C3" s="1">
        <v>430000</v>
      </c>
      <c r="D3" s="1">
        <v>430000</v>
      </c>
    </row>
    <row r="4" spans="1:4">
      <c r="A4" s="1" t="s">
        <v>14</v>
      </c>
      <c r="B4" s="1">
        <v>8.0799999999999997E-2</v>
      </c>
      <c r="C4" s="1">
        <v>3.5400000000000001E-2</v>
      </c>
      <c r="D4" s="1">
        <v>2.1100000000000001E-2</v>
      </c>
    </row>
    <row r="5" spans="1:4">
      <c r="A5" s="1" t="s">
        <v>15</v>
      </c>
      <c r="B5" s="1">
        <v>0</v>
      </c>
      <c r="C5" s="1">
        <v>0</v>
      </c>
      <c r="D5" s="1">
        <v>0</v>
      </c>
    </row>
    <row r="6" spans="1:4">
      <c r="A6" s="1" t="s">
        <v>1</v>
      </c>
      <c r="B6" s="20">
        <v>20500</v>
      </c>
      <c r="C6" s="20">
        <v>8000</v>
      </c>
      <c r="D6" s="20">
        <v>8200</v>
      </c>
    </row>
    <row r="7" spans="1:4">
      <c r="A7" s="1" t="s">
        <v>2</v>
      </c>
      <c r="B7" s="20">
        <v>15700</v>
      </c>
      <c r="C7" s="20">
        <v>6600</v>
      </c>
      <c r="D7" s="20">
        <v>4800</v>
      </c>
    </row>
    <row r="8" spans="1:4">
      <c r="A8" s="1" t="s">
        <v>16</v>
      </c>
      <c r="B8" s="20">
        <v>650000</v>
      </c>
      <c r="C8" s="20">
        <v>220000</v>
      </c>
      <c r="D8" s="20">
        <v>170000</v>
      </c>
    </row>
    <row r="9" spans="1:4">
      <c r="A9" s="1" t="s">
        <v>30</v>
      </c>
      <c r="B9" s="1">
        <v>0.7</v>
      </c>
      <c r="C9" s="1">
        <v>0.7</v>
      </c>
      <c r="D9" s="1">
        <v>0.7</v>
      </c>
    </row>
    <row r="10" spans="1:4">
      <c r="A10" s="1" t="s">
        <v>31</v>
      </c>
      <c r="B10" s="1">
        <v>0.5</v>
      </c>
      <c r="C10" s="1">
        <v>0.5</v>
      </c>
      <c r="D10" s="1">
        <v>0.5</v>
      </c>
    </row>
    <row r="11" spans="1:4">
      <c r="A11" s="1" t="s">
        <v>32</v>
      </c>
      <c r="B11" s="1">
        <v>0.2</v>
      </c>
      <c r="C11" s="1">
        <v>0.2</v>
      </c>
      <c r="D11" s="1">
        <v>0.2</v>
      </c>
    </row>
    <row r="12" spans="1:4">
      <c r="A12" s="1" t="s">
        <v>17</v>
      </c>
      <c r="B12" s="1">
        <v>150000</v>
      </c>
      <c r="C12" s="30"/>
      <c r="D12" s="30"/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29"/>
  <sheetViews>
    <sheetView workbookViewId="0">
      <selection activeCell="J30" sqref="J30:M31"/>
    </sheetView>
  </sheetViews>
  <sheetFormatPr defaultRowHeight="13.5"/>
  <cols>
    <col min="3" max="3" width="11" bestFit="1" customWidth="1"/>
    <col min="4" max="4" width="15.125" bestFit="1" customWidth="1"/>
    <col min="5" max="5" width="11" customWidth="1"/>
    <col min="6" max="6" width="11.125" bestFit="1" customWidth="1"/>
    <col min="7" max="7" width="13" bestFit="1" customWidth="1"/>
    <col min="8" max="8" width="4.5" bestFit="1" customWidth="1"/>
    <col min="9" max="9" width="9.25" bestFit="1" customWidth="1"/>
    <col min="10" max="10" width="10.375" customWidth="1"/>
    <col min="11" max="11" width="9.25" bestFit="1" customWidth="1"/>
  </cols>
  <sheetData>
    <row r="1" spans="1:11" ht="14.25" thickBot="1">
      <c r="A1" s="18"/>
      <c r="B1" s="18"/>
      <c r="C1" s="18"/>
      <c r="D1" s="18"/>
      <c r="E1" s="18"/>
      <c r="F1" s="18"/>
    </row>
    <row r="2" spans="1:11">
      <c r="A2" s="32"/>
      <c r="B2" s="33"/>
      <c r="C2" s="33"/>
      <c r="D2" s="33"/>
      <c r="E2" s="33"/>
      <c r="F2" s="33"/>
      <c r="G2" s="33"/>
      <c r="H2" s="33" t="s">
        <v>84</v>
      </c>
      <c r="I2" s="33" t="s">
        <v>83</v>
      </c>
      <c r="J2" s="33"/>
      <c r="K2" s="34"/>
    </row>
    <row r="3" spans="1:11">
      <c r="A3" s="35" t="s">
        <v>58</v>
      </c>
      <c r="B3" s="18" t="s">
        <v>81</v>
      </c>
      <c r="C3" s="18" t="s">
        <v>35</v>
      </c>
      <c r="D3" s="18" t="s">
        <v>82</v>
      </c>
      <c r="E3" s="18"/>
      <c r="F3" s="18"/>
      <c r="G3" s="18"/>
      <c r="H3" s="18">
        <v>111</v>
      </c>
      <c r="I3" s="17">
        <v>600000</v>
      </c>
      <c r="J3" s="18">
        <v>211</v>
      </c>
      <c r="K3" s="37">
        <v>1100000</v>
      </c>
    </row>
    <row r="4" spans="1:11">
      <c r="A4" s="35"/>
      <c r="B4" s="18">
        <f>計算シート!G26</f>
        <v>0</v>
      </c>
      <c r="C4" s="36">
        <f>計算シート!O26</f>
        <v>0</v>
      </c>
      <c r="D4" s="36">
        <f>計算シート!AH26+計算シート!AN26</f>
        <v>0</v>
      </c>
      <c r="E4" s="36"/>
      <c r="F4" s="18"/>
      <c r="G4" s="18"/>
      <c r="H4" s="18">
        <v>112</v>
      </c>
      <c r="I4" s="17">
        <v>500000</v>
      </c>
      <c r="J4" s="18">
        <v>212</v>
      </c>
      <c r="K4" s="37">
        <v>1000000</v>
      </c>
    </row>
    <row r="5" spans="1:11">
      <c r="A5" s="35"/>
      <c r="B5" s="18"/>
      <c r="C5" s="18"/>
      <c r="D5" s="18"/>
      <c r="E5" s="18"/>
      <c r="F5" s="18"/>
      <c r="G5" s="18"/>
      <c r="H5" s="18">
        <v>113</v>
      </c>
      <c r="I5" s="17">
        <v>400000</v>
      </c>
      <c r="J5" s="18">
        <v>213</v>
      </c>
      <c r="K5" s="37">
        <v>900000</v>
      </c>
    </row>
    <row r="6" spans="1:11">
      <c r="A6" s="35"/>
      <c r="B6" s="18" t="s">
        <v>87</v>
      </c>
      <c r="C6" s="18" t="s">
        <v>79</v>
      </c>
      <c r="D6" s="18" t="s">
        <v>80</v>
      </c>
      <c r="E6" s="18"/>
      <c r="F6" s="18" t="s">
        <v>84</v>
      </c>
      <c r="G6" s="18"/>
      <c r="H6" s="18">
        <v>121</v>
      </c>
      <c r="I6" s="17">
        <f>C4*0.25+275000</f>
        <v>275000</v>
      </c>
      <c r="J6" s="18">
        <v>221</v>
      </c>
      <c r="K6" s="37">
        <f>C4*0.25+275000</f>
        <v>275000</v>
      </c>
    </row>
    <row r="7" spans="1:11">
      <c r="A7" s="35"/>
      <c r="B7" s="18">
        <f>IF(計算シート!G26&lt;65,1,2)</f>
        <v>1</v>
      </c>
      <c r="C7" s="18">
        <f>IF(B7=1,IF(C4&lt;=1300000,1,IF(C4&lt;=4100000,2,IF(C4&lt;=7700000,3,IF(C4&lt;=10000000,4,5)))),IF(C4&lt;=3300000,1,IF(C4&lt;=4100000,2,IF(C4&lt;=7700000,3,IF(C4&lt;=10000000,4,5)))))</f>
        <v>1</v>
      </c>
      <c r="D7" s="18">
        <f>IF(D4&lt;=10000000,1,IF(D4&lt;=20000000,2,3))</f>
        <v>1</v>
      </c>
      <c r="E7" s="18"/>
      <c r="F7" s="18">
        <f>B7*100+C7*10+D7</f>
        <v>111</v>
      </c>
      <c r="G7" s="18"/>
      <c r="H7" s="18">
        <v>122</v>
      </c>
      <c r="I7" s="17">
        <f>C4*0.25+175000</f>
        <v>175000</v>
      </c>
      <c r="J7" s="18">
        <v>222</v>
      </c>
      <c r="K7" s="37">
        <f>C4*0.25+175000</f>
        <v>175000</v>
      </c>
    </row>
    <row r="8" spans="1:11">
      <c r="A8" s="35"/>
      <c r="B8" s="18"/>
      <c r="C8" s="18"/>
      <c r="D8" s="18"/>
      <c r="E8" s="18"/>
      <c r="F8" s="18"/>
      <c r="G8" s="18"/>
      <c r="H8" s="18">
        <v>123</v>
      </c>
      <c r="I8" s="17">
        <f>C4*0.25+75000</f>
        <v>75000</v>
      </c>
      <c r="J8" s="18">
        <v>223</v>
      </c>
      <c r="K8" s="37">
        <f>C4*0.25+75000</f>
        <v>75000</v>
      </c>
    </row>
    <row r="9" spans="1:11">
      <c r="A9" s="35"/>
      <c r="B9" s="18"/>
      <c r="C9" s="18"/>
      <c r="D9" s="18" t="s">
        <v>85</v>
      </c>
      <c r="E9" s="18" t="s">
        <v>86</v>
      </c>
      <c r="F9" s="18"/>
      <c r="G9" s="18"/>
      <c r="H9" s="18">
        <v>131</v>
      </c>
      <c r="I9" s="17">
        <f>C4*0.15+685000</f>
        <v>685000</v>
      </c>
      <c r="J9" s="18">
        <v>231</v>
      </c>
      <c r="K9" s="37">
        <f>C4*0.15+685000</f>
        <v>685000</v>
      </c>
    </row>
    <row r="10" spans="1:11">
      <c r="A10" s="35"/>
      <c r="B10" s="18"/>
      <c r="C10" s="18"/>
      <c r="D10" s="17">
        <f>IFERROR(VLOOKUP(F7,H3:I17,2,FALSE),VLOOKUP(F7,J3:K17,2,FALSE))</f>
        <v>600000</v>
      </c>
      <c r="E10" s="89">
        <f>ROUNDDOWN(MAX(C4-D10,0),0)</f>
        <v>0</v>
      </c>
      <c r="F10" s="18"/>
      <c r="G10" s="18"/>
      <c r="H10" s="18">
        <v>132</v>
      </c>
      <c r="I10" s="17">
        <f>C4*0.15+585000</f>
        <v>585000</v>
      </c>
      <c r="J10" s="18">
        <v>232</v>
      </c>
      <c r="K10" s="37">
        <f>C4*0.15+585000</f>
        <v>585000</v>
      </c>
    </row>
    <row r="11" spans="1:11">
      <c r="A11" s="35"/>
      <c r="B11" s="18"/>
      <c r="C11" s="18"/>
      <c r="D11" s="18"/>
      <c r="E11" s="18"/>
      <c r="F11" s="18"/>
      <c r="G11" s="18"/>
      <c r="H11" s="18">
        <v>133</v>
      </c>
      <c r="I11" s="17">
        <f>C4*0.15+485000</f>
        <v>485000</v>
      </c>
      <c r="J11" s="18">
        <v>233</v>
      </c>
      <c r="K11" s="37">
        <f>C4*0.15+485000</f>
        <v>485000</v>
      </c>
    </row>
    <row r="12" spans="1:11">
      <c r="A12" s="35"/>
      <c r="B12" s="18"/>
      <c r="C12" s="18"/>
      <c r="D12" s="18"/>
      <c r="E12" s="18"/>
      <c r="F12" s="18"/>
      <c r="G12" s="18"/>
      <c r="H12" s="18">
        <v>141</v>
      </c>
      <c r="I12" s="17">
        <f>C4*0.05+1455000</f>
        <v>1455000</v>
      </c>
      <c r="J12" s="18">
        <v>241</v>
      </c>
      <c r="K12" s="37">
        <f>C4*0.05+1455000</f>
        <v>1455000</v>
      </c>
    </row>
    <row r="13" spans="1:11">
      <c r="A13" s="35"/>
      <c r="B13" s="18"/>
      <c r="C13" s="18"/>
      <c r="D13" s="18">
        <v>686854.25</v>
      </c>
      <c r="E13" s="18"/>
      <c r="F13" s="18"/>
      <c r="G13" s="18"/>
      <c r="H13" s="18">
        <v>142</v>
      </c>
      <c r="I13" s="17">
        <f>C4*0.05+1355000</f>
        <v>1355000</v>
      </c>
      <c r="J13" s="18">
        <v>242</v>
      </c>
      <c r="K13" s="37">
        <f>C4*0.05+1355000</f>
        <v>1355000</v>
      </c>
    </row>
    <row r="14" spans="1:11">
      <c r="A14" s="35"/>
      <c r="B14" s="18"/>
      <c r="C14" s="18"/>
      <c r="D14" s="18"/>
      <c r="E14" s="18"/>
      <c r="F14" s="18"/>
      <c r="G14" s="18"/>
      <c r="H14" s="18">
        <v>143</v>
      </c>
      <c r="I14" s="17">
        <f>C4*0.05+1255000</f>
        <v>1255000</v>
      </c>
      <c r="J14" s="18">
        <v>243</v>
      </c>
      <c r="K14" s="37">
        <f>C4*0.05+1255000</f>
        <v>1255000</v>
      </c>
    </row>
    <row r="15" spans="1:11">
      <c r="A15" s="35"/>
      <c r="B15" s="18"/>
      <c r="C15" s="18"/>
      <c r="D15" s="18"/>
      <c r="E15" s="18"/>
      <c r="F15" s="18"/>
      <c r="G15" s="18"/>
      <c r="H15" s="18">
        <v>151</v>
      </c>
      <c r="I15" s="17">
        <v>1955000</v>
      </c>
      <c r="J15" s="18">
        <v>251</v>
      </c>
      <c r="K15" s="37">
        <v>1955000</v>
      </c>
    </row>
    <row r="16" spans="1:11">
      <c r="A16" s="35"/>
      <c r="B16" s="18"/>
      <c r="C16" s="18"/>
      <c r="D16" s="18"/>
      <c r="E16" s="18"/>
      <c r="F16" s="18"/>
      <c r="G16" s="18"/>
      <c r="H16" s="18">
        <v>152</v>
      </c>
      <c r="I16" s="17">
        <v>1855000</v>
      </c>
      <c r="J16" s="18">
        <v>252</v>
      </c>
      <c r="K16" s="37">
        <v>1855000</v>
      </c>
    </row>
    <row r="17" spans="1:11" ht="14.25" thickBot="1">
      <c r="A17" s="38"/>
      <c r="B17" s="39"/>
      <c r="C17" s="39"/>
      <c r="D17" s="39"/>
      <c r="E17" s="39"/>
      <c r="F17" s="39"/>
      <c r="G17" s="39"/>
      <c r="H17" s="39">
        <v>153</v>
      </c>
      <c r="I17" s="40">
        <v>1755000</v>
      </c>
      <c r="J17" s="39">
        <v>253</v>
      </c>
      <c r="K17" s="41">
        <v>1755000</v>
      </c>
    </row>
    <row r="18" spans="1:11">
      <c r="A18" s="32"/>
      <c r="B18" s="33"/>
      <c r="C18" s="33"/>
      <c r="D18" s="33"/>
      <c r="E18" s="33"/>
      <c r="F18" s="33"/>
      <c r="G18" s="33"/>
      <c r="H18" s="33" t="s">
        <v>84</v>
      </c>
      <c r="I18" s="33" t="s">
        <v>83</v>
      </c>
      <c r="J18" s="33"/>
      <c r="K18" s="34"/>
    </row>
    <row r="19" spans="1:11">
      <c r="A19" s="35" t="s">
        <v>52</v>
      </c>
      <c r="B19" s="18" t="s">
        <v>81</v>
      </c>
      <c r="C19" s="18" t="s">
        <v>35</v>
      </c>
      <c r="D19" s="18" t="s">
        <v>82</v>
      </c>
      <c r="E19" s="18"/>
      <c r="F19" s="18"/>
      <c r="G19" s="18"/>
      <c r="H19" s="18">
        <v>111</v>
      </c>
      <c r="I19" s="17">
        <v>600000</v>
      </c>
      <c r="J19" s="18">
        <v>211</v>
      </c>
      <c r="K19" s="37">
        <v>1100000</v>
      </c>
    </row>
    <row r="20" spans="1:11">
      <c r="A20" s="35"/>
      <c r="B20" s="18">
        <f>計算シート!G28</f>
        <v>0</v>
      </c>
      <c r="C20" s="36">
        <f>計算シート!O28</f>
        <v>0</v>
      </c>
      <c r="D20" s="36">
        <f>計算シート!AH28+計算シート!AN28</f>
        <v>0</v>
      </c>
      <c r="E20" s="36"/>
      <c r="F20" s="18"/>
      <c r="G20" s="18"/>
      <c r="H20" s="18">
        <v>112</v>
      </c>
      <c r="I20" s="17">
        <v>500000</v>
      </c>
      <c r="J20" s="18">
        <v>212</v>
      </c>
      <c r="K20" s="37">
        <v>1000000</v>
      </c>
    </row>
    <row r="21" spans="1:11">
      <c r="A21" s="35"/>
      <c r="B21" s="18"/>
      <c r="C21" s="18"/>
      <c r="D21" s="18"/>
      <c r="E21" s="18"/>
      <c r="F21" s="18"/>
      <c r="G21" s="18"/>
      <c r="H21" s="18">
        <v>113</v>
      </c>
      <c r="I21" s="17">
        <v>400000</v>
      </c>
      <c r="J21" s="18">
        <v>213</v>
      </c>
      <c r="K21" s="37">
        <v>900000</v>
      </c>
    </row>
    <row r="22" spans="1:11">
      <c r="A22" s="35"/>
      <c r="B22" s="18" t="s">
        <v>87</v>
      </c>
      <c r="C22" s="18" t="s">
        <v>79</v>
      </c>
      <c r="D22" s="18" t="s">
        <v>80</v>
      </c>
      <c r="E22" s="18"/>
      <c r="F22" s="18" t="s">
        <v>84</v>
      </c>
      <c r="G22" s="18"/>
      <c r="H22" s="18">
        <v>121</v>
      </c>
      <c r="I22" s="17">
        <f>C20*0.25+275000</f>
        <v>275000</v>
      </c>
      <c r="J22" s="18">
        <v>221</v>
      </c>
      <c r="K22" s="37">
        <f>C20*0.25+275000</f>
        <v>275000</v>
      </c>
    </row>
    <row r="23" spans="1:11">
      <c r="A23" s="35"/>
      <c r="B23" s="18">
        <f>IF(計算シート!G28&lt;65,1,2)</f>
        <v>1</v>
      </c>
      <c r="C23" s="18">
        <f>IF(B23=1,IF(C20&lt;=1300000,1,IF(C20&lt;=4100000,2,IF(C20&lt;=7700000,3,IF(C20&lt;=10000000,4,5)))),IF(C20&lt;=3300000,1,IF(C20&lt;=4100000,2,IF(C20&lt;=7700000,3,IF(C20&lt;=10000000,4,5)))))</f>
        <v>1</v>
      </c>
      <c r="D23" s="18">
        <f>IF(D20&lt;=10000000,1,IF(D20&lt;=20000000,2,3))</f>
        <v>1</v>
      </c>
      <c r="E23" s="18"/>
      <c r="F23" s="18">
        <f>B23*100+C23*10+D23</f>
        <v>111</v>
      </c>
      <c r="G23" s="18"/>
      <c r="H23" s="18">
        <v>122</v>
      </c>
      <c r="I23" s="17">
        <f>C20*0.25+175000</f>
        <v>175000</v>
      </c>
      <c r="J23" s="18">
        <v>222</v>
      </c>
      <c r="K23" s="37">
        <f>C20*0.25+175000</f>
        <v>175000</v>
      </c>
    </row>
    <row r="24" spans="1:11">
      <c r="A24" s="35"/>
      <c r="B24" s="18"/>
      <c r="C24" s="18"/>
      <c r="D24" s="18"/>
      <c r="E24" s="18"/>
      <c r="F24" s="18"/>
      <c r="G24" s="18"/>
      <c r="H24" s="18">
        <v>123</v>
      </c>
      <c r="I24" s="17">
        <f>C20*0.25+75000</f>
        <v>75000</v>
      </c>
      <c r="J24" s="18">
        <v>223</v>
      </c>
      <c r="K24" s="37">
        <f>C20*0.25+75000</f>
        <v>75000</v>
      </c>
    </row>
    <row r="25" spans="1:11">
      <c r="A25" s="35"/>
      <c r="B25" s="18"/>
      <c r="C25" s="18"/>
      <c r="D25" s="18" t="s">
        <v>85</v>
      </c>
      <c r="E25" s="18" t="s">
        <v>86</v>
      </c>
      <c r="F25" s="18"/>
      <c r="G25" s="18"/>
      <c r="H25" s="18">
        <v>131</v>
      </c>
      <c r="I25" s="17">
        <f>C20*0.15+685000</f>
        <v>685000</v>
      </c>
      <c r="J25" s="18">
        <v>231</v>
      </c>
      <c r="K25" s="37">
        <f>C20*0.15+685000</f>
        <v>685000</v>
      </c>
    </row>
    <row r="26" spans="1:11">
      <c r="A26" s="35"/>
      <c r="B26" s="18"/>
      <c r="C26" s="18"/>
      <c r="D26" s="17">
        <f>IFERROR(VLOOKUP(F23,H19:I33,2,FALSE),VLOOKUP(F23,J19:K33,2,FALSE))</f>
        <v>600000</v>
      </c>
      <c r="E26" s="17">
        <f>ROUNDDOWN(MAX(C20-D26,0),0)</f>
        <v>0</v>
      </c>
      <c r="F26" s="18"/>
      <c r="G26" s="18"/>
      <c r="H26" s="18">
        <v>132</v>
      </c>
      <c r="I26" s="17">
        <f>C20*0.15+585000</f>
        <v>585000</v>
      </c>
      <c r="J26" s="18">
        <v>232</v>
      </c>
      <c r="K26" s="37">
        <f>C20*0.15+585000</f>
        <v>585000</v>
      </c>
    </row>
    <row r="27" spans="1:11">
      <c r="A27" s="35"/>
      <c r="B27" s="18"/>
      <c r="C27" s="18"/>
      <c r="D27" s="18"/>
      <c r="E27" s="18"/>
      <c r="F27" s="18"/>
      <c r="G27" s="18"/>
      <c r="H27" s="18">
        <v>133</v>
      </c>
      <c r="I27" s="17">
        <f>C20*0.15+485000</f>
        <v>485000</v>
      </c>
      <c r="J27" s="18">
        <v>233</v>
      </c>
      <c r="K27" s="37">
        <f>C20*0.15+485000</f>
        <v>485000</v>
      </c>
    </row>
    <row r="28" spans="1:11">
      <c r="A28" s="35"/>
      <c r="B28" s="18"/>
      <c r="C28" s="18"/>
      <c r="D28" s="18"/>
      <c r="E28" s="18"/>
      <c r="F28" s="18"/>
      <c r="G28" s="18"/>
      <c r="H28" s="18">
        <v>141</v>
      </c>
      <c r="I28" s="17">
        <f>C20*0.05+1455000</f>
        <v>1455000</v>
      </c>
      <c r="J28" s="18">
        <v>241</v>
      </c>
      <c r="K28" s="37">
        <f>C20*0.05+1455000</f>
        <v>1455000</v>
      </c>
    </row>
    <row r="29" spans="1:11">
      <c r="A29" s="35"/>
      <c r="B29" s="18"/>
      <c r="C29" s="18"/>
      <c r="D29" s="18"/>
      <c r="E29" s="18"/>
      <c r="F29" s="18"/>
      <c r="G29" s="18"/>
      <c r="H29" s="18">
        <v>142</v>
      </c>
      <c r="I29" s="17">
        <f>C20*0.05+1355000</f>
        <v>1355000</v>
      </c>
      <c r="J29" s="18">
        <v>242</v>
      </c>
      <c r="K29" s="37">
        <f>C20*0.05+1355000</f>
        <v>1355000</v>
      </c>
    </row>
    <row r="30" spans="1:11">
      <c r="A30" s="35"/>
      <c r="B30" s="18"/>
      <c r="C30" s="18"/>
      <c r="D30" s="18"/>
      <c r="E30" s="18"/>
      <c r="F30" s="18"/>
      <c r="G30" s="18"/>
      <c r="H30" s="18">
        <v>143</v>
      </c>
      <c r="I30" s="17">
        <f>C20*0.05+1255000</f>
        <v>1255000</v>
      </c>
      <c r="J30" s="18">
        <v>243</v>
      </c>
      <c r="K30" s="37">
        <f>C20*0.05+1255000</f>
        <v>1255000</v>
      </c>
    </row>
    <row r="31" spans="1:11">
      <c r="A31" s="35"/>
      <c r="B31" s="18"/>
      <c r="C31" s="18"/>
      <c r="D31" s="18"/>
      <c r="E31" s="18"/>
      <c r="F31" s="18"/>
      <c r="G31" s="18"/>
      <c r="H31" s="18">
        <v>151</v>
      </c>
      <c r="I31" s="17">
        <v>1955000</v>
      </c>
      <c r="J31" s="18">
        <v>251</v>
      </c>
      <c r="K31" s="37">
        <v>1955000</v>
      </c>
    </row>
    <row r="32" spans="1:11">
      <c r="A32" s="35"/>
      <c r="B32" s="18"/>
      <c r="C32" s="18"/>
      <c r="D32" s="18"/>
      <c r="E32" s="18"/>
      <c r="F32" s="18"/>
      <c r="G32" s="18"/>
      <c r="H32" s="18">
        <v>152</v>
      </c>
      <c r="I32" s="17">
        <v>1855000</v>
      </c>
      <c r="J32" s="18">
        <v>252</v>
      </c>
      <c r="K32" s="37">
        <v>1855000</v>
      </c>
    </row>
    <row r="33" spans="1:11" ht="14.25" thickBot="1">
      <c r="A33" s="38"/>
      <c r="B33" s="39"/>
      <c r="C33" s="39"/>
      <c r="D33" s="39"/>
      <c r="E33" s="39"/>
      <c r="F33" s="39"/>
      <c r="G33" s="39"/>
      <c r="H33" s="39">
        <v>153</v>
      </c>
      <c r="I33" s="40">
        <v>1755000</v>
      </c>
      <c r="J33" s="39">
        <v>253</v>
      </c>
      <c r="K33" s="41">
        <v>1755000</v>
      </c>
    </row>
    <row r="34" spans="1:11">
      <c r="A34" s="32"/>
      <c r="B34" s="33"/>
      <c r="C34" s="33"/>
      <c r="D34" s="33"/>
      <c r="E34" s="33"/>
      <c r="F34" s="33"/>
      <c r="G34" s="33"/>
      <c r="H34" s="33" t="s">
        <v>84</v>
      </c>
      <c r="I34" s="33" t="s">
        <v>83</v>
      </c>
      <c r="J34" s="33"/>
      <c r="K34" s="34"/>
    </row>
    <row r="35" spans="1:11">
      <c r="A35" s="35" t="s">
        <v>53</v>
      </c>
      <c r="B35" s="18" t="s">
        <v>81</v>
      </c>
      <c r="C35" s="18" t="s">
        <v>35</v>
      </c>
      <c r="D35" s="18" t="s">
        <v>82</v>
      </c>
      <c r="E35" s="18"/>
      <c r="F35" s="18"/>
      <c r="G35" s="18"/>
      <c r="H35" s="18">
        <v>111</v>
      </c>
      <c r="I35" s="17">
        <v>600000</v>
      </c>
      <c r="J35" s="18">
        <v>211</v>
      </c>
      <c r="K35" s="37">
        <v>1100000</v>
      </c>
    </row>
    <row r="36" spans="1:11">
      <c r="A36" s="35"/>
      <c r="B36" s="18">
        <f>計算シート!G30</f>
        <v>0</v>
      </c>
      <c r="C36" s="36">
        <f>計算シート!O30</f>
        <v>0</v>
      </c>
      <c r="D36" s="36">
        <f>計算シート!AH30+計算シート!AN30</f>
        <v>0</v>
      </c>
      <c r="E36" s="36"/>
      <c r="F36" s="18"/>
      <c r="G36" s="18"/>
      <c r="H36" s="18">
        <v>112</v>
      </c>
      <c r="I36" s="17">
        <v>500000</v>
      </c>
      <c r="J36" s="18">
        <v>212</v>
      </c>
      <c r="K36" s="37">
        <v>1000000</v>
      </c>
    </row>
    <row r="37" spans="1:11">
      <c r="A37" s="35"/>
      <c r="B37" s="18"/>
      <c r="C37" s="18"/>
      <c r="D37" s="18"/>
      <c r="E37" s="18"/>
      <c r="F37" s="18"/>
      <c r="G37" s="18"/>
      <c r="H37" s="18">
        <v>113</v>
      </c>
      <c r="I37" s="17">
        <v>400000</v>
      </c>
      <c r="J37" s="18">
        <v>213</v>
      </c>
      <c r="K37" s="37">
        <v>900000</v>
      </c>
    </row>
    <row r="38" spans="1:11">
      <c r="A38" s="35"/>
      <c r="B38" s="18" t="s">
        <v>87</v>
      </c>
      <c r="C38" s="18" t="s">
        <v>79</v>
      </c>
      <c r="D38" s="18" t="s">
        <v>80</v>
      </c>
      <c r="E38" s="18"/>
      <c r="F38" s="18" t="s">
        <v>84</v>
      </c>
      <c r="G38" s="18"/>
      <c r="H38" s="18">
        <v>121</v>
      </c>
      <c r="I38" s="17">
        <f>C36*0.25+275000</f>
        <v>275000</v>
      </c>
      <c r="J38" s="18">
        <v>221</v>
      </c>
      <c r="K38" s="37">
        <f>C36*0.25+275000</f>
        <v>275000</v>
      </c>
    </row>
    <row r="39" spans="1:11">
      <c r="A39" s="35"/>
      <c r="B39" s="18">
        <f>IF(計算シート!G30&lt;65,1,2)</f>
        <v>1</v>
      </c>
      <c r="C39" s="18">
        <f>IF(B39=1,IF(C36&lt;=1300000,1,IF(C36&lt;=4100000,2,IF(C36&lt;=7700000,3,IF(C36&lt;=10000000,4,5)))),IF(C36&lt;=3300000,1,IF(C36&lt;=4100000,2,IF(C36&lt;=7700000,3,IF(C36&lt;=10000000,4,5)))))</f>
        <v>1</v>
      </c>
      <c r="D39" s="18">
        <f>IF(D36&lt;=10000000,1,IF(D36&lt;=20000000,2,3))</f>
        <v>1</v>
      </c>
      <c r="E39" s="18"/>
      <c r="F39" s="18">
        <f>B39*100+C39*10+D39</f>
        <v>111</v>
      </c>
      <c r="G39" s="18"/>
      <c r="H39" s="18">
        <v>122</v>
      </c>
      <c r="I39" s="17">
        <f>C36*0.25+175000</f>
        <v>175000</v>
      </c>
      <c r="J39" s="18">
        <v>222</v>
      </c>
      <c r="K39" s="37">
        <f>C36*0.25+175000</f>
        <v>175000</v>
      </c>
    </row>
    <row r="40" spans="1:11">
      <c r="A40" s="35"/>
      <c r="B40" s="18"/>
      <c r="C40" s="18"/>
      <c r="D40" s="18"/>
      <c r="E40" s="18"/>
      <c r="F40" s="18"/>
      <c r="G40" s="18"/>
      <c r="H40" s="18">
        <v>123</v>
      </c>
      <c r="I40" s="17">
        <f>C36*0.25+75000</f>
        <v>75000</v>
      </c>
      <c r="J40" s="18">
        <v>223</v>
      </c>
      <c r="K40" s="37">
        <f>C36*0.25+75000</f>
        <v>75000</v>
      </c>
    </row>
    <row r="41" spans="1:11">
      <c r="A41" s="35"/>
      <c r="B41" s="18"/>
      <c r="C41" s="18"/>
      <c r="D41" s="18" t="s">
        <v>85</v>
      </c>
      <c r="E41" s="18" t="s">
        <v>86</v>
      </c>
      <c r="F41" s="18"/>
      <c r="G41" s="18"/>
      <c r="H41" s="18">
        <v>131</v>
      </c>
      <c r="I41" s="17">
        <f>C36*0.15+685000</f>
        <v>685000</v>
      </c>
      <c r="J41" s="18">
        <v>231</v>
      </c>
      <c r="K41" s="37">
        <f>C36*0.15+685000</f>
        <v>685000</v>
      </c>
    </row>
    <row r="42" spans="1:11">
      <c r="A42" s="35"/>
      <c r="B42" s="18"/>
      <c r="C42" s="18"/>
      <c r="D42" s="17">
        <f>IFERROR(VLOOKUP(F39,H35:I49,2,FALSE),VLOOKUP(F39,J35:K49,2,FALSE))</f>
        <v>600000</v>
      </c>
      <c r="E42" s="17">
        <f>ROUNDDOWN(MAX(C36-D42,0),0)</f>
        <v>0</v>
      </c>
      <c r="F42" s="18"/>
      <c r="G42" s="18"/>
      <c r="H42" s="18">
        <v>132</v>
      </c>
      <c r="I42" s="17">
        <f>C36*0.15+585000</f>
        <v>585000</v>
      </c>
      <c r="J42" s="18">
        <v>232</v>
      </c>
      <c r="K42" s="37">
        <f>C36*0.15+585000</f>
        <v>585000</v>
      </c>
    </row>
    <row r="43" spans="1:11">
      <c r="A43" s="35"/>
      <c r="B43" s="18"/>
      <c r="C43" s="18"/>
      <c r="D43" s="18"/>
      <c r="E43" s="18"/>
      <c r="F43" s="18"/>
      <c r="G43" s="18"/>
      <c r="H43" s="18">
        <v>133</v>
      </c>
      <c r="I43" s="17">
        <f>C36*0.15+485000</f>
        <v>485000</v>
      </c>
      <c r="J43" s="18">
        <v>233</v>
      </c>
      <c r="K43" s="37">
        <f>C36*0.15+485000</f>
        <v>485000</v>
      </c>
    </row>
    <row r="44" spans="1:11">
      <c r="A44" s="35"/>
      <c r="B44" s="18"/>
      <c r="C44" s="18"/>
      <c r="D44" s="18"/>
      <c r="E44" s="18"/>
      <c r="F44" s="18"/>
      <c r="G44" s="18"/>
      <c r="H44" s="18">
        <v>141</v>
      </c>
      <c r="I44" s="17">
        <f>C36*0.05+1455000</f>
        <v>1455000</v>
      </c>
      <c r="J44" s="18">
        <v>241</v>
      </c>
      <c r="K44" s="37">
        <f>C36*0.05+1455000</f>
        <v>1455000</v>
      </c>
    </row>
    <row r="45" spans="1:11">
      <c r="A45" s="35"/>
      <c r="B45" s="18"/>
      <c r="C45" s="18"/>
      <c r="D45" s="18"/>
      <c r="E45" s="18"/>
      <c r="F45" s="18"/>
      <c r="G45" s="18"/>
      <c r="H45" s="18">
        <v>142</v>
      </c>
      <c r="I45" s="17">
        <f>C36*0.05+1355000</f>
        <v>1355000</v>
      </c>
      <c r="J45" s="18">
        <v>242</v>
      </c>
      <c r="K45" s="37">
        <f>C36*0.05+1355000</f>
        <v>1355000</v>
      </c>
    </row>
    <row r="46" spans="1:11">
      <c r="A46" s="35"/>
      <c r="B46" s="18"/>
      <c r="C46" s="18"/>
      <c r="D46" s="18"/>
      <c r="E46" s="18"/>
      <c r="F46" s="18"/>
      <c r="G46" s="18"/>
      <c r="H46" s="18">
        <v>143</v>
      </c>
      <c r="I46" s="17">
        <f>C36*0.05+1255000</f>
        <v>1255000</v>
      </c>
      <c r="J46" s="18">
        <v>243</v>
      </c>
      <c r="K46" s="37">
        <f>C36*0.05+1255000</f>
        <v>1255000</v>
      </c>
    </row>
    <row r="47" spans="1:11">
      <c r="A47" s="35"/>
      <c r="B47" s="18"/>
      <c r="C47" s="18"/>
      <c r="D47" s="18"/>
      <c r="E47" s="18"/>
      <c r="F47" s="18"/>
      <c r="G47" s="18"/>
      <c r="H47" s="18">
        <v>151</v>
      </c>
      <c r="I47" s="17">
        <v>1955000</v>
      </c>
      <c r="J47" s="18">
        <v>251</v>
      </c>
      <c r="K47" s="37">
        <v>1955000</v>
      </c>
    </row>
    <row r="48" spans="1:11">
      <c r="A48" s="35"/>
      <c r="B48" s="18"/>
      <c r="C48" s="18"/>
      <c r="D48" s="18"/>
      <c r="E48" s="18"/>
      <c r="F48" s="18"/>
      <c r="G48" s="18"/>
      <c r="H48" s="18">
        <v>152</v>
      </c>
      <c r="I48" s="17">
        <v>1855000</v>
      </c>
      <c r="J48" s="18">
        <v>252</v>
      </c>
      <c r="K48" s="37">
        <v>1855000</v>
      </c>
    </row>
    <row r="49" spans="1:11" ht="14.25" thickBot="1">
      <c r="A49" s="38"/>
      <c r="B49" s="39"/>
      <c r="C49" s="39"/>
      <c r="D49" s="39"/>
      <c r="E49" s="39"/>
      <c r="F49" s="39"/>
      <c r="G49" s="39"/>
      <c r="H49" s="39">
        <v>153</v>
      </c>
      <c r="I49" s="40">
        <v>1755000</v>
      </c>
      <c r="J49" s="39">
        <v>253</v>
      </c>
      <c r="K49" s="41">
        <v>1755000</v>
      </c>
    </row>
    <row r="50" spans="1:11">
      <c r="A50" s="32"/>
      <c r="B50" s="33"/>
      <c r="C50" s="33"/>
      <c r="D50" s="33"/>
      <c r="E50" s="33"/>
      <c r="F50" s="33"/>
      <c r="G50" s="33"/>
      <c r="H50" s="33" t="s">
        <v>84</v>
      </c>
      <c r="I50" s="33" t="s">
        <v>83</v>
      </c>
      <c r="J50" s="33"/>
      <c r="K50" s="34"/>
    </row>
    <row r="51" spans="1:11">
      <c r="A51" s="35" t="s">
        <v>54</v>
      </c>
      <c r="B51" s="18" t="s">
        <v>81</v>
      </c>
      <c r="C51" s="18" t="s">
        <v>35</v>
      </c>
      <c r="D51" s="18" t="s">
        <v>82</v>
      </c>
      <c r="E51" s="18"/>
      <c r="F51" s="18"/>
      <c r="G51" s="18"/>
      <c r="H51" s="18">
        <v>111</v>
      </c>
      <c r="I51" s="17">
        <v>600000</v>
      </c>
      <c r="J51" s="18">
        <v>211</v>
      </c>
      <c r="K51" s="37">
        <v>1100000</v>
      </c>
    </row>
    <row r="52" spans="1:11">
      <c r="A52" s="35"/>
      <c r="B52" s="18">
        <f>計算シート!G32</f>
        <v>0</v>
      </c>
      <c r="C52" s="36">
        <f>計算シート!O32</f>
        <v>0</v>
      </c>
      <c r="D52" s="36">
        <f>計算シート!AH32+計算シート!AN32</f>
        <v>0</v>
      </c>
      <c r="E52" s="36"/>
      <c r="F52" s="18"/>
      <c r="G52" s="18"/>
      <c r="H52" s="18">
        <v>112</v>
      </c>
      <c r="I52" s="17">
        <v>500000</v>
      </c>
      <c r="J52" s="18">
        <v>212</v>
      </c>
      <c r="K52" s="37">
        <v>1000000</v>
      </c>
    </row>
    <row r="53" spans="1:11">
      <c r="A53" s="35"/>
      <c r="B53" s="18"/>
      <c r="C53" s="18"/>
      <c r="D53" s="18"/>
      <c r="E53" s="18"/>
      <c r="F53" s="18"/>
      <c r="G53" s="18"/>
      <c r="H53" s="18">
        <v>113</v>
      </c>
      <c r="I53" s="17">
        <v>400000</v>
      </c>
      <c r="J53" s="18">
        <v>213</v>
      </c>
      <c r="K53" s="37">
        <v>900000</v>
      </c>
    </row>
    <row r="54" spans="1:11">
      <c r="A54" s="35"/>
      <c r="B54" s="18" t="s">
        <v>87</v>
      </c>
      <c r="C54" s="18" t="s">
        <v>79</v>
      </c>
      <c r="D54" s="18" t="s">
        <v>80</v>
      </c>
      <c r="E54" s="18"/>
      <c r="F54" s="18" t="s">
        <v>84</v>
      </c>
      <c r="G54" s="18"/>
      <c r="H54" s="18">
        <v>121</v>
      </c>
      <c r="I54" s="17">
        <f>C52*0.25+275000</f>
        <v>275000</v>
      </c>
      <c r="J54" s="18">
        <v>221</v>
      </c>
      <c r="K54" s="37">
        <f>C52*0.25+275000</f>
        <v>275000</v>
      </c>
    </row>
    <row r="55" spans="1:11">
      <c r="A55" s="35"/>
      <c r="B55" s="18">
        <f>IF(計算シート!G32&lt;65,1,2)</f>
        <v>1</v>
      </c>
      <c r="C55" s="18">
        <f>IF(B55=1,IF(C52&lt;=1300000,1,IF(C52&lt;=4100000,2,IF(C52&lt;=7700000,3,IF(C52&lt;=10000000,4,5)))),IF(C52&lt;=3300000,1,IF(C52&lt;=4100000,2,IF(C52&lt;=7700000,3,IF(C52&lt;=10000000,4,5)))))</f>
        <v>1</v>
      </c>
      <c r="D55" s="18">
        <f>IF(D52&lt;=10000000,1,IF(D52&lt;=20000000,2,3))</f>
        <v>1</v>
      </c>
      <c r="E55" s="18"/>
      <c r="F55" s="18">
        <f>B55*100+C55*10+D55</f>
        <v>111</v>
      </c>
      <c r="G55" s="18"/>
      <c r="H55" s="18">
        <v>122</v>
      </c>
      <c r="I55" s="17">
        <f>C52*0.25+175000</f>
        <v>175000</v>
      </c>
      <c r="J55" s="18">
        <v>222</v>
      </c>
      <c r="K55" s="37">
        <f>C52*0.25+175000</f>
        <v>175000</v>
      </c>
    </row>
    <row r="56" spans="1:11">
      <c r="A56" s="35"/>
      <c r="B56" s="18"/>
      <c r="C56" s="18"/>
      <c r="D56" s="18"/>
      <c r="E56" s="18"/>
      <c r="F56" s="18"/>
      <c r="G56" s="18"/>
      <c r="H56" s="18">
        <v>123</v>
      </c>
      <c r="I56" s="17">
        <f>C52*0.25+75000</f>
        <v>75000</v>
      </c>
      <c r="J56" s="18">
        <v>223</v>
      </c>
      <c r="K56" s="37">
        <f>C52*0.25+75000</f>
        <v>75000</v>
      </c>
    </row>
    <row r="57" spans="1:11">
      <c r="A57" s="35"/>
      <c r="B57" s="18"/>
      <c r="C57" s="18"/>
      <c r="D57" s="18" t="s">
        <v>85</v>
      </c>
      <c r="E57" s="18" t="s">
        <v>86</v>
      </c>
      <c r="F57" s="18"/>
      <c r="G57" s="18"/>
      <c r="H57" s="18">
        <v>131</v>
      </c>
      <c r="I57" s="17">
        <f>C52*0.15+685000</f>
        <v>685000</v>
      </c>
      <c r="J57" s="18">
        <v>231</v>
      </c>
      <c r="K57" s="37">
        <f>C52*0.15+685000</f>
        <v>685000</v>
      </c>
    </row>
    <row r="58" spans="1:11">
      <c r="A58" s="35"/>
      <c r="B58" s="18"/>
      <c r="C58" s="18"/>
      <c r="D58" s="17">
        <f>IFERROR(VLOOKUP(F55,H51:I65,2,FALSE),VLOOKUP(F55,J51:K65,2,FALSE))</f>
        <v>600000</v>
      </c>
      <c r="E58" s="17">
        <f>ROUNDDOWN(MAX(C52-D58,0),0)</f>
        <v>0</v>
      </c>
      <c r="F58" s="18"/>
      <c r="G58" s="18"/>
      <c r="H58" s="18">
        <v>132</v>
      </c>
      <c r="I58" s="17">
        <f>C52*0.15+585000</f>
        <v>585000</v>
      </c>
      <c r="J58" s="18">
        <v>232</v>
      </c>
      <c r="K58" s="37">
        <f>C52*0.15+585000</f>
        <v>585000</v>
      </c>
    </row>
    <row r="59" spans="1:11">
      <c r="A59" s="35"/>
      <c r="B59" s="18"/>
      <c r="C59" s="18"/>
      <c r="D59" s="18"/>
      <c r="E59" s="18"/>
      <c r="F59" s="18"/>
      <c r="G59" s="18"/>
      <c r="H59" s="18">
        <v>133</v>
      </c>
      <c r="I59" s="17">
        <f>C52*0.15+485000</f>
        <v>485000</v>
      </c>
      <c r="J59" s="18">
        <v>233</v>
      </c>
      <c r="K59" s="37">
        <f>C52*0.15+485000</f>
        <v>485000</v>
      </c>
    </row>
    <row r="60" spans="1:11">
      <c r="A60" s="35"/>
      <c r="B60" s="18"/>
      <c r="C60" s="18"/>
      <c r="D60" s="18"/>
      <c r="E60" s="18"/>
      <c r="F60" s="18"/>
      <c r="G60" s="18"/>
      <c r="H60" s="18">
        <v>141</v>
      </c>
      <c r="I60" s="17">
        <f>C52*0.05+1455000</f>
        <v>1455000</v>
      </c>
      <c r="J60" s="18">
        <v>241</v>
      </c>
      <c r="K60" s="37">
        <f>C52*0.05+1455000</f>
        <v>1455000</v>
      </c>
    </row>
    <row r="61" spans="1:11">
      <c r="A61" s="35"/>
      <c r="B61" s="18"/>
      <c r="C61" s="18"/>
      <c r="D61" s="18"/>
      <c r="E61" s="18"/>
      <c r="F61" s="18"/>
      <c r="G61" s="18"/>
      <c r="H61" s="18">
        <v>142</v>
      </c>
      <c r="I61" s="17">
        <f>C52*0.05+1355000</f>
        <v>1355000</v>
      </c>
      <c r="J61" s="18">
        <v>242</v>
      </c>
      <c r="K61" s="37">
        <f>C52*0.05+1355000</f>
        <v>1355000</v>
      </c>
    </row>
    <row r="62" spans="1:11">
      <c r="A62" s="35"/>
      <c r="B62" s="18"/>
      <c r="C62" s="18"/>
      <c r="D62" s="18"/>
      <c r="E62" s="18"/>
      <c r="F62" s="18"/>
      <c r="G62" s="18"/>
      <c r="H62" s="18">
        <v>143</v>
      </c>
      <c r="I62" s="17">
        <f>C52*0.05+1255000</f>
        <v>1255000</v>
      </c>
      <c r="J62" s="18">
        <v>243</v>
      </c>
      <c r="K62" s="37">
        <f>C52*0.05+1255000</f>
        <v>1255000</v>
      </c>
    </row>
    <row r="63" spans="1:11">
      <c r="A63" s="35"/>
      <c r="B63" s="18"/>
      <c r="C63" s="18"/>
      <c r="D63" s="18"/>
      <c r="E63" s="18"/>
      <c r="F63" s="18"/>
      <c r="G63" s="18"/>
      <c r="H63" s="18">
        <v>151</v>
      </c>
      <c r="I63" s="17">
        <v>1955000</v>
      </c>
      <c r="J63" s="18">
        <v>251</v>
      </c>
      <c r="K63" s="37">
        <v>1955000</v>
      </c>
    </row>
    <row r="64" spans="1:11">
      <c r="A64" s="35"/>
      <c r="B64" s="18"/>
      <c r="C64" s="18"/>
      <c r="D64" s="18"/>
      <c r="E64" s="18"/>
      <c r="F64" s="18"/>
      <c r="G64" s="18"/>
      <c r="H64" s="18">
        <v>152</v>
      </c>
      <c r="I64" s="17">
        <v>1855000</v>
      </c>
      <c r="J64" s="18">
        <v>252</v>
      </c>
      <c r="K64" s="37">
        <v>1855000</v>
      </c>
    </row>
    <row r="65" spans="1:11" ht="14.25" thickBot="1">
      <c r="A65" s="38"/>
      <c r="B65" s="39"/>
      <c r="C65" s="39"/>
      <c r="D65" s="39"/>
      <c r="E65" s="39"/>
      <c r="F65" s="39"/>
      <c r="G65" s="39"/>
      <c r="H65" s="39">
        <v>153</v>
      </c>
      <c r="I65" s="40">
        <v>1755000</v>
      </c>
      <c r="J65" s="39">
        <v>253</v>
      </c>
      <c r="K65" s="41">
        <v>1755000</v>
      </c>
    </row>
    <row r="66" spans="1:11">
      <c r="A66" s="32"/>
      <c r="B66" s="33"/>
      <c r="C66" s="33"/>
      <c r="D66" s="33"/>
      <c r="E66" s="33"/>
      <c r="F66" s="33"/>
      <c r="G66" s="33"/>
      <c r="H66" s="33" t="s">
        <v>84</v>
      </c>
      <c r="I66" s="33" t="s">
        <v>83</v>
      </c>
      <c r="J66" s="33"/>
      <c r="K66" s="34"/>
    </row>
    <row r="67" spans="1:11">
      <c r="A67" s="35" t="s">
        <v>55</v>
      </c>
      <c r="B67" s="18" t="s">
        <v>81</v>
      </c>
      <c r="C67" s="18" t="s">
        <v>35</v>
      </c>
      <c r="D67" s="18" t="s">
        <v>82</v>
      </c>
      <c r="E67" s="18"/>
      <c r="F67" s="18"/>
      <c r="G67" s="18"/>
      <c r="H67" s="18">
        <v>111</v>
      </c>
      <c r="I67" s="17">
        <v>600000</v>
      </c>
      <c r="J67" s="18">
        <v>211</v>
      </c>
      <c r="K67" s="37">
        <v>1100000</v>
      </c>
    </row>
    <row r="68" spans="1:11">
      <c r="A68" s="35"/>
      <c r="B68" s="18">
        <f>計算シート!G34</f>
        <v>0</v>
      </c>
      <c r="C68" s="36">
        <f>計算シート!O34</f>
        <v>0</v>
      </c>
      <c r="D68" s="36">
        <f>計算シート!AH34+計算シート!AN34</f>
        <v>0</v>
      </c>
      <c r="E68" s="36"/>
      <c r="F68" s="18"/>
      <c r="G68" s="18"/>
      <c r="H68" s="18">
        <v>112</v>
      </c>
      <c r="I68" s="17">
        <v>500000</v>
      </c>
      <c r="J68" s="18">
        <v>212</v>
      </c>
      <c r="K68" s="37">
        <v>1000000</v>
      </c>
    </row>
    <row r="69" spans="1:11">
      <c r="A69" s="35"/>
      <c r="B69" s="18"/>
      <c r="C69" s="18"/>
      <c r="D69" s="18"/>
      <c r="E69" s="18"/>
      <c r="F69" s="18"/>
      <c r="G69" s="18"/>
      <c r="H69" s="18">
        <v>113</v>
      </c>
      <c r="I69" s="17">
        <v>400000</v>
      </c>
      <c r="J69" s="18">
        <v>213</v>
      </c>
      <c r="K69" s="37">
        <v>900000</v>
      </c>
    </row>
    <row r="70" spans="1:11">
      <c r="A70" s="35"/>
      <c r="B70" s="18" t="s">
        <v>87</v>
      </c>
      <c r="C70" s="18" t="s">
        <v>79</v>
      </c>
      <c r="D70" s="18" t="s">
        <v>80</v>
      </c>
      <c r="E70" s="18"/>
      <c r="F70" s="18" t="s">
        <v>84</v>
      </c>
      <c r="G70" s="18"/>
      <c r="H70" s="18">
        <v>121</v>
      </c>
      <c r="I70" s="17">
        <f>C68*0.25+275000</f>
        <v>275000</v>
      </c>
      <c r="J70" s="18">
        <v>221</v>
      </c>
      <c r="K70" s="37">
        <f>C68*0.25+275000</f>
        <v>275000</v>
      </c>
    </row>
    <row r="71" spans="1:11">
      <c r="A71" s="35"/>
      <c r="B71" s="18">
        <f>IF(計算シート!G34&lt;65,1,2)</f>
        <v>1</v>
      </c>
      <c r="C71" s="18">
        <f>IF(B71=1,IF(C68&lt;=1300000,1,IF(C68&lt;=4100000,2,IF(C68&lt;=7700000,3,IF(C68&lt;=10000000,4,5)))),IF(C68&lt;=3300000,1,IF(C68&lt;=4100000,2,IF(C68&lt;=7700000,3,IF(C68&lt;=10000000,4,5)))))</f>
        <v>1</v>
      </c>
      <c r="D71" s="18">
        <f>IF(D68&lt;=10000000,1,IF(D68&lt;=20000000,2,3))</f>
        <v>1</v>
      </c>
      <c r="E71" s="18"/>
      <c r="F71" s="18">
        <f>B71*100+C71*10+D71</f>
        <v>111</v>
      </c>
      <c r="G71" s="18"/>
      <c r="H71" s="18">
        <v>122</v>
      </c>
      <c r="I71" s="17">
        <f>C68*0.25+175000</f>
        <v>175000</v>
      </c>
      <c r="J71" s="18">
        <v>222</v>
      </c>
      <c r="K71" s="37">
        <f>C68*0.25+175000</f>
        <v>175000</v>
      </c>
    </row>
    <row r="72" spans="1:11">
      <c r="A72" s="35"/>
      <c r="B72" s="18"/>
      <c r="C72" s="18"/>
      <c r="D72" s="18"/>
      <c r="E72" s="18"/>
      <c r="F72" s="18"/>
      <c r="G72" s="18"/>
      <c r="H72" s="18">
        <v>123</v>
      </c>
      <c r="I72" s="17">
        <f>C68*0.25+75000</f>
        <v>75000</v>
      </c>
      <c r="J72" s="18">
        <v>223</v>
      </c>
      <c r="K72" s="37">
        <f>C68*0.25+75000</f>
        <v>75000</v>
      </c>
    </row>
    <row r="73" spans="1:11">
      <c r="A73" s="35"/>
      <c r="B73" s="18"/>
      <c r="C73" s="18"/>
      <c r="D73" s="18" t="s">
        <v>85</v>
      </c>
      <c r="E73" s="18" t="s">
        <v>86</v>
      </c>
      <c r="F73" s="18"/>
      <c r="G73" s="18"/>
      <c r="H73" s="18">
        <v>131</v>
      </c>
      <c r="I73" s="17">
        <f>C68*0.15+685000</f>
        <v>685000</v>
      </c>
      <c r="J73" s="18">
        <v>231</v>
      </c>
      <c r="K73" s="37">
        <f>C68*0.15+685000</f>
        <v>685000</v>
      </c>
    </row>
    <row r="74" spans="1:11">
      <c r="A74" s="35"/>
      <c r="B74" s="18"/>
      <c r="C74" s="18"/>
      <c r="D74" s="17">
        <f>IFERROR(VLOOKUP(F71,H67:I81,2,FALSE),VLOOKUP(F71,J67:K81,2,FALSE))</f>
        <v>600000</v>
      </c>
      <c r="E74" s="17">
        <f>ROUNDDOWN(MAX(C68-D74,0),0)</f>
        <v>0</v>
      </c>
      <c r="F74" s="18"/>
      <c r="G74" s="18"/>
      <c r="H74" s="18">
        <v>132</v>
      </c>
      <c r="I74" s="17">
        <f>C68*0.15+585000</f>
        <v>585000</v>
      </c>
      <c r="J74" s="18">
        <v>232</v>
      </c>
      <c r="K74" s="37">
        <f>C68*0.15+585000</f>
        <v>585000</v>
      </c>
    </row>
    <row r="75" spans="1:11">
      <c r="A75" s="35"/>
      <c r="B75" s="18"/>
      <c r="C75" s="18"/>
      <c r="D75" s="18"/>
      <c r="E75" s="18"/>
      <c r="F75" s="18"/>
      <c r="G75" s="18"/>
      <c r="H75" s="18">
        <v>133</v>
      </c>
      <c r="I75" s="17">
        <f>C68*0.15+485000</f>
        <v>485000</v>
      </c>
      <c r="J75" s="18">
        <v>233</v>
      </c>
      <c r="K75" s="37">
        <f>C68*0.15+485000</f>
        <v>485000</v>
      </c>
    </row>
    <row r="76" spans="1:11">
      <c r="A76" s="35"/>
      <c r="B76" s="18"/>
      <c r="C76" s="18"/>
      <c r="D76" s="18"/>
      <c r="E76" s="18"/>
      <c r="F76" s="18"/>
      <c r="G76" s="18"/>
      <c r="H76" s="18">
        <v>141</v>
      </c>
      <c r="I76" s="17">
        <f>C68*0.05+1455000</f>
        <v>1455000</v>
      </c>
      <c r="J76" s="18">
        <v>241</v>
      </c>
      <c r="K76" s="37">
        <f>C68*0.05+1455000</f>
        <v>1455000</v>
      </c>
    </row>
    <row r="77" spans="1:11">
      <c r="A77" s="35"/>
      <c r="B77" s="18"/>
      <c r="C77" s="18"/>
      <c r="D77" s="18"/>
      <c r="E77" s="18"/>
      <c r="F77" s="18"/>
      <c r="G77" s="18"/>
      <c r="H77" s="18">
        <v>142</v>
      </c>
      <c r="I77" s="17">
        <f>C68*0.05+1355000</f>
        <v>1355000</v>
      </c>
      <c r="J77" s="18">
        <v>242</v>
      </c>
      <c r="K77" s="37">
        <f>C68*0.05+1355000</f>
        <v>1355000</v>
      </c>
    </row>
    <row r="78" spans="1:11">
      <c r="A78" s="35"/>
      <c r="B78" s="18"/>
      <c r="C78" s="18"/>
      <c r="D78" s="18"/>
      <c r="E78" s="18"/>
      <c r="F78" s="18"/>
      <c r="G78" s="18"/>
      <c r="H78" s="18">
        <v>143</v>
      </c>
      <c r="I78" s="17">
        <f>C68*0.05+1255000</f>
        <v>1255000</v>
      </c>
      <c r="J78" s="18">
        <v>243</v>
      </c>
      <c r="K78" s="37">
        <f>C68*0.05+1255000</f>
        <v>1255000</v>
      </c>
    </row>
    <row r="79" spans="1:11">
      <c r="A79" s="35"/>
      <c r="B79" s="18"/>
      <c r="C79" s="18"/>
      <c r="D79" s="18"/>
      <c r="E79" s="18"/>
      <c r="F79" s="18"/>
      <c r="G79" s="18"/>
      <c r="H79" s="18">
        <v>151</v>
      </c>
      <c r="I79" s="17">
        <v>1955000</v>
      </c>
      <c r="J79" s="18">
        <v>251</v>
      </c>
      <c r="K79" s="37">
        <v>1955000</v>
      </c>
    </row>
    <row r="80" spans="1:11">
      <c r="A80" s="35"/>
      <c r="B80" s="18"/>
      <c r="C80" s="18"/>
      <c r="D80" s="18"/>
      <c r="E80" s="18"/>
      <c r="F80" s="18"/>
      <c r="G80" s="18"/>
      <c r="H80" s="18">
        <v>152</v>
      </c>
      <c r="I80" s="17">
        <v>1855000</v>
      </c>
      <c r="J80" s="18">
        <v>252</v>
      </c>
      <c r="K80" s="37">
        <v>1855000</v>
      </c>
    </row>
    <row r="81" spans="1:11" ht="14.25" thickBot="1">
      <c r="A81" s="38"/>
      <c r="B81" s="39"/>
      <c r="C81" s="39"/>
      <c r="D81" s="39"/>
      <c r="E81" s="39"/>
      <c r="F81" s="39"/>
      <c r="G81" s="39"/>
      <c r="H81" s="39">
        <v>153</v>
      </c>
      <c r="I81" s="40">
        <v>1755000</v>
      </c>
      <c r="J81" s="39">
        <v>253</v>
      </c>
      <c r="K81" s="41">
        <v>1755000</v>
      </c>
    </row>
    <row r="82" spans="1:11">
      <c r="A82" s="32"/>
      <c r="B82" s="33"/>
      <c r="C82" s="33"/>
      <c r="D82" s="33"/>
      <c r="E82" s="33"/>
      <c r="F82" s="33"/>
      <c r="G82" s="33"/>
      <c r="H82" s="33" t="s">
        <v>84</v>
      </c>
      <c r="I82" s="33" t="s">
        <v>83</v>
      </c>
      <c r="J82" s="33"/>
      <c r="K82" s="34"/>
    </row>
    <row r="83" spans="1:11">
      <c r="A83" s="35" t="s">
        <v>56</v>
      </c>
      <c r="B83" s="18" t="s">
        <v>81</v>
      </c>
      <c r="C83" s="18" t="s">
        <v>35</v>
      </c>
      <c r="D83" s="18" t="s">
        <v>82</v>
      </c>
      <c r="E83" s="18"/>
      <c r="F83" s="18"/>
      <c r="G83" s="18"/>
      <c r="H83" s="18">
        <v>111</v>
      </c>
      <c r="I83" s="17">
        <v>600000</v>
      </c>
      <c r="J83" s="18">
        <v>211</v>
      </c>
      <c r="K83" s="37">
        <v>1100000</v>
      </c>
    </row>
    <row r="84" spans="1:11">
      <c r="A84" s="35"/>
      <c r="B84" s="18">
        <f>計算シート!G36</f>
        <v>0</v>
      </c>
      <c r="C84" s="36">
        <f>計算シート!O36</f>
        <v>0</v>
      </c>
      <c r="D84" s="36">
        <f>計算シート!AH36+計算シート!AN36</f>
        <v>0</v>
      </c>
      <c r="E84" s="36"/>
      <c r="F84" s="18"/>
      <c r="G84" s="18"/>
      <c r="H84" s="18">
        <v>112</v>
      </c>
      <c r="I84" s="17">
        <v>500000</v>
      </c>
      <c r="J84" s="18">
        <v>212</v>
      </c>
      <c r="K84" s="37">
        <v>1000000</v>
      </c>
    </row>
    <row r="85" spans="1:11">
      <c r="A85" s="35"/>
      <c r="B85" s="18"/>
      <c r="C85" s="18"/>
      <c r="D85" s="18"/>
      <c r="E85" s="18"/>
      <c r="F85" s="18"/>
      <c r="G85" s="18"/>
      <c r="H85" s="18">
        <v>113</v>
      </c>
      <c r="I85" s="17">
        <v>400000</v>
      </c>
      <c r="J85" s="18">
        <v>213</v>
      </c>
      <c r="K85" s="37">
        <v>900000</v>
      </c>
    </row>
    <row r="86" spans="1:11">
      <c r="A86" s="35"/>
      <c r="B86" s="18" t="s">
        <v>87</v>
      </c>
      <c r="C86" s="18" t="s">
        <v>79</v>
      </c>
      <c r="D86" s="18" t="s">
        <v>80</v>
      </c>
      <c r="E86" s="18"/>
      <c r="F86" s="18" t="s">
        <v>84</v>
      </c>
      <c r="G86" s="18"/>
      <c r="H86" s="18">
        <v>121</v>
      </c>
      <c r="I86" s="17">
        <f>C84*0.25+275000</f>
        <v>275000</v>
      </c>
      <c r="J86" s="18">
        <v>221</v>
      </c>
      <c r="K86" s="37">
        <f>C84*0.25+275000</f>
        <v>275000</v>
      </c>
    </row>
    <row r="87" spans="1:11">
      <c r="A87" s="35"/>
      <c r="B87" s="18">
        <f>IF(計算シート!G36&lt;65,1,2)</f>
        <v>1</v>
      </c>
      <c r="C87" s="18">
        <f>IF(B87=1,IF(C84&lt;=1300000,1,IF(C84&lt;=4100000,2,IF(C84&lt;=7700000,3,IF(C84&lt;=10000000,4,5)))),IF(C84&lt;=3300000,1,IF(C84&lt;=4100000,2,IF(C84&lt;=7700000,3,IF(C84&lt;=10000000,4,5)))))</f>
        <v>1</v>
      </c>
      <c r="D87" s="18">
        <f>IF(D84&lt;=10000000,1,IF(D84&lt;=20000000,2,3))</f>
        <v>1</v>
      </c>
      <c r="E87" s="18"/>
      <c r="F87" s="18">
        <f>B87*100+C87*10+D87</f>
        <v>111</v>
      </c>
      <c r="G87" s="18"/>
      <c r="H87" s="18">
        <v>122</v>
      </c>
      <c r="I87" s="17">
        <f>C84*0.25+175000</f>
        <v>175000</v>
      </c>
      <c r="J87" s="18">
        <v>222</v>
      </c>
      <c r="K87" s="37">
        <f>C84*0.25+175000</f>
        <v>175000</v>
      </c>
    </row>
    <row r="88" spans="1:11">
      <c r="A88" s="35"/>
      <c r="B88" s="18"/>
      <c r="C88" s="18"/>
      <c r="D88" s="18"/>
      <c r="E88" s="18"/>
      <c r="F88" s="18"/>
      <c r="G88" s="18"/>
      <c r="H88" s="18">
        <v>123</v>
      </c>
      <c r="I88" s="17">
        <f>C84*0.25+75000</f>
        <v>75000</v>
      </c>
      <c r="J88" s="18">
        <v>223</v>
      </c>
      <c r="K88" s="37">
        <f>C84*0.25+75000</f>
        <v>75000</v>
      </c>
    </row>
    <row r="89" spans="1:11">
      <c r="A89" s="35"/>
      <c r="B89" s="18"/>
      <c r="C89" s="18"/>
      <c r="D89" s="18" t="s">
        <v>85</v>
      </c>
      <c r="E89" s="18" t="s">
        <v>86</v>
      </c>
      <c r="F89" s="18"/>
      <c r="G89" s="18"/>
      <c r="H89" s="18">
        <v>131</v>
      </c>
      <c r="I89" s="17">
        <f>C84*0.15+685000</f>
        <v>685000</v>
      </c>
      <c r="J89" s="18">
        <v>231</v>
      </c>
      <c r="K89" s="37">
        <f>C84*0.15+685000</f>
        <v>685000</v>
      </c>
    </row>
    <row r="90" spans="1:11">
      <c r="A90" s="35"/>
      <c r="B90" s="18"/>
      <c r="C90" s="18"/>
      <c r="D90" s="17">
        <f>IFERROR(VLOOKUP(F87,H83:I97,2,FALSE),VLOOKUP(F87,J83:K97,2,FALSE))</f>
        <v>600000</v>
      </c>
      <c r="E90" s="17">
        <f>ROUNDDOWN(MAX(C84-D90,0),0)</f>
        <v>0</v>
      </c>
      <c r="F90" s="18"/>
      <c r="G90" s="18"/>
      <c r="H90" s="18">
        <v>132</v>
      </c>
      <c r="I90" s="17">
        <f>C84*0.15+585000</f>
        <v>585000</v>
      </c>
      <c r="J90" s="18">
        <v>232</v>
      </c>
      <c r="K90" s="37">
        <f>C84*0.15+585000</f>
        <v>585000</v>
      </c>
    </row>
    <row r="91" spans="1:11">
      <c r="A91" s="35"/>
      <c r="B91" s="18"/>
      <c r="C91" s="18"/>
      <c r="D91" s="18"/>
      <c r="E91" s="18"/>
      <c r="F91" s="18"/>
      <c r="G91" s="18"/>
      <c r="H91" s="18">
        <v>133</v>
      </c>
      <c r="I91" s="17">
        <f>C84*0.15+485000</f>
        <v>485000</v>
      </c>
      <c r="J91" s="18">
        <v>233</v>
      </c>
      <c r="K91" s="37">
        <f>C84*0.15+485000</f>
        <v>485000</v>
      </c>
    </row>
    <row r="92" spans="1:11">
      <c r="A92" s="35"/>
      <c r="B92" s="18"/>
      <c r="C92" s="18"/>
      <c r="D92" s="18"/>
      <c r="E92" s="18"/>
      <c r="F92" s="18"/>
      <c r="G92" s="18"/>
      <c r="H92" s="18">
        <v>141</v>
      </c>
      <c r="I92" s="17">
        <f>C84*0.05+1455000</f>
        <v>1455000</v>
      </c>
      <c r="J92" s="18">
        <v>241</v>
      </c>
      <c r="K92" s="37">
        <f>C84*0.05+1455000</f>
        <v>1455000</v>
      </c>
    </row>
    <row r="93" spans="1:11">
      <c r="A93" s="35"/>
      <c r="B93" s="18"/>
      <c r="C93" s="18"/>
      <c r="D93" s="18"/>
      <c r="E93" s="18"/>
      <c r="F93" s="18"/>
      <c r="G93" s="18"/>
      <c r="H93" s="18">
        <v>142</v>
      </c>
      <c r="I93" s="17">
        <f>C84*0.05+1355000</f>
        <v>1355000</v>
      </c>
      <c r="J93" s="18">
        <v>242</v>
      </c>
      <c r="K93" s="37">
        <f>C84*0.05+1355000</f>
        <v>1355000</v>
      </c>
    </row>
    <row r="94" spans="1:11">
      <c r="A94" s="35"/>
      <c r="B94" s="18"/>
      <c r="C94" s="18"/>
      <c r="D94" s="18"/>
      <c r="E94" s="18"/>
      <c r="F94" s="18"/>
      <c r="G94" s="18"/>
      <c r="H94" s="18">
        <v>143</v>
      </c>
      <c r="I94" s="17">
        <f>C84*0.05+1255000</f>
        <v>1255000</v>
      </c>
      <c r="J94" s="18">
        <v>243</v>
      </c>
      <c r="K94" s="37">
        <f>C84*0.05+1255000</f>
        <v>1255000</v>
      </c>
    </row>
    <row r="95" spans="1:11">
      <c r="A95" s="35"/>
      <c r="B95" s="18"/>
      <c r="C95" s="18"/>
      <c r="D95" s="18"/>
      <c r="E95" s="18"/>
      <c r="F95" s="18"/>
      <c r="G95" s="18"/>
      <c r="H95" s="18">
        <v>151</v>
      </c>
      <c r="I95" s="17">
        <v>1955000</v>
      </c>
      <c r="J95" s="18">
        <v>251</v>
      </c>
      <c r="K95" s="37">
        <v>1955000</v>
      </c>
    </row>
    <row r="96" spans="1:11">
      <c r="A96" s="35"/>
      <c r="B96" s="18"/>
      <c r="C96" s="18"/>
      <c r="D96" s="18"/>
      <c r="E96" s="18"/>
      <c r="F96" s="18"/>
      <c r="G96" s="18"/>
      <c r="H96" s="18">
        <v>152</v>
      </c>
      <c r="I96" s="17">
        <v>1855000</v>
      </c>
      <c r="J96" s="18">
        <v>252</v>
      </c>
      <c r="K96" s="37">
        <v>1855000</v>
      </c>
    </row>
    <row r="97" spans="1:11" ht="14.25" thickBot="1">
      <c r="A97" s="38"/>
      <c r="B97" s="39"/>
      <c r="C97" s="39"/>
      <c r="D97" s="39"/>
      <c r="E97" s="39"/>
      <c r="F97" s="39"/>
      <c r="G97" s="39"/>
      <c r="H97" s="39">
        <v>153</v>
      </c>
      <c r="I97" s="40">
        <v>1755000</v>
      </c>
      <c r="J97" s="39">
        <v>253</v>
      </c>
      <c r="K97" s="41">
        <v>1755000</v>
      </c>
    </row>
    <row r="98" spans="1:11">
      <c r="A98" s="32"/>
      <c r="B98" s="33"/>
      <c r="C98" s="33"/>
      <c r="D98" s="33"/>
      <c r="E98" s="33"/>
      <c r="F98" s="33"/>
      <c r="G98" s="33"/>
      <c r="H98" s="33" t="s">
        <v>84</v>
      </c>
      <c r="I98" s="33" t="s">
        <v>83</v>
      </c>
      <c r="J98" s="33"/>
      <c r="K98" s="34"/>
    </row>
    <row r="99" spans="1:11">
      <c r="A99" s="35" t="s">
        <v>57</v>
      </c>
      <c r="B99" s="18" t="s">
        <v>81</v>
      </c>
      <c r="C99" s="18" t="s">
        <v>35</v>
      </c>
      <c r="D99" s="18" t="s">
        <v>82</v>
      </c>
      <c r="E99" s="18"/>
      <c r="F99" s="18"/>
      <c r="G99" s="18"/>
      <c r="H99" s="18">
        <v>111</v>
      </c>
      <c r="I99" s="17">
        <v>600000</v>
      </c>
      <c r="J99" s="18">
        <v>211</v>
      </c>
      <c r="K99" s="37">
        <v>1100000</v>
      </c>
    </row>
    <row r="100" spans="1:11">
      <c r="A100" s="35"/>
      <c r="B100" s="18">
        <f>計算シート!G38</f>
        <v>0</v>
      </c>
      <c r="C100" s="36">
        <f>計算シート!O38</f>
        <v>0</v>
      </c>
      <c r="D100" s="36">
        <f>計算シート!AH38+計算シート!AN38</f>
        <v>0</v>
      </c>
      <c r="E100" s="36"/>
      <c r="F100" s="18"/>
      <c r="G100" s="18"/>
      <c r="H100" s="18">
        <v>112</v>
      </c>
      <c r="I100" s="17">
        <v>500000</v>
      </c>
      <c r="J100" s="18">
        <v>212</v>
      </c>
      <c r="K100" s="37">
        <v>1000000</v>
      </c>
    </row>
    <row r="101" spans="1:11">
      <c r="A101" s="35"/>
      <c r="B101" s="18"/>
      <c r="C101" s="18"/>
      <c r="D101" s="18"/>
      <c r="E101" s="18"/>
      <c r="F101" s="18"/>
      <c r="G101" s="18"/>
      <c r="H101" s="18">
        <v>113</v>
      </c>
      <c r="I101" s="17">
        <v>400000</v>
      </c>
      <c r="J101" s="18">
        <v>213</v>
      </c>
      <c r="K101" s="37">
        <v>900000</v>
      </c>
    </row>
    <row r="102" spans="1:11">
      <c r="A102" s="35"/>
      <c r="B102" s="18" t="s">
        <v>87</v>
      </c>
      <c r="C102" s="18" t="s">
        <v>79</v>
      </c>
      <c r="D102" s="18" t="s">
        <v>80</v>
      </c>
      <c r="E102" s="18"/>
      <c r="F102" s="18" t="s">
        <v>84</v>
      </c>
      <c r="G102" s="18"/>
      <c r="H102" s="18">
        <v>121</v>
      </c>
      <c r="I102" s="17">
        <f>C100*0.25+275000</f>
        <v>275000</v>
      </c>
      <c r="J102" s="18">
        <v>221</v>
      </c>
      <c r="K102" s="37">
        <f>C100*0.25+275000</f>
        <v>275000</v>
      </c>
    </row>
    <row r="103" spans="1:11">
      <c r="A103" s="35"/>
      <c r="B103" s="18">
        <f>IF(計算シート!G123&lt;65,1,2)</f>
        <v>1</v>
      </c>
      <c r="C103" s="18">
        <f>IF(B103=1,IF(C100&lt;=1300000,1,IF(C100&lt;=4100000,2,IF(C100&lt;=7700000,3,IF(C100&lt;=10000000,4,5)))),IF(C100&lt;=3300000,1,IF(C100&lt;=4100000,2,IF(C100&lt;=7700000,3,IF(C100&lt;=10000000,4,5)))))</f>
        <v>1</v>
      </c>
      <c r="D103" s="18">
        <f>IF(D100&lt;=10000000,1,IF(D100&lt;=20000000,2,3))</f>
        <v>1</v>
      </c>
      <c r="E103" s="18"/>
      <c r="F103" s="18">
        <f>B103*100+C103*10+D103</f>
        <v>111</v>
      </c>
      <c r="G103" s="18"/>
      <c r="H103" s="18">
        <v>122</v>
      </c>
      <c r="I103" s="17">
        <f>C100*0.25+175000</f>
        <v>175000</v>
      </c>
      <c r="J103" s="18">
        <v>222</v>
      </c>
      <c r="K103" s="37">
        <f>C100*0.25+175000</f>
        <v>175000</v>
      </c>
    </row>
    <row r="104" spans="1:11">
      <c r="A104" s="35"/>
      <c r="B104" s="18"/>
      <c r="C104" s="18"/>
      <c r="D104" s="18"/>
      <c r="E104" s="18"/>
      <c r="F104" s="18"/>
      <c r="G104" s="18"/>
      <c r="H104" s="18">
        <v>123</v>
      </c>
      <c r="I104" s="17">
        <f>C100*0.25+75000</f>
        <v>75000</v>
      </c>
      <c r="J104" s="18">
        <v>223</v>
      </c>
      <c r="K104" s="37">
        <f>C100*0.25+75000</f>
        <v>75000</v>
      </c>
    </row>
    <row r="105" spans="1:11">
      <c r="A105" s="35"/>
      <c r="B105" s="18"/>
      <c r="C105" s="18"/>
      <c r="D105" s="18" t="s">
        <v>85</v>
      </c>
      <c r="E105" s="18" t="s">
        <v>86</v>
      </c>
      <c r="F105" s="18"/>
      <c r="G105" s="18"/>
      <c r="H105" s="18">
        <v>131</v>
      </c>
      <c r="I105" s="17">
        <f>C100*0.15+685000</f>
        <v>685000</v>
      </c>
      <c r="J105" s="18">
        <v>231</v>
      </c>
      <c r="K105" s="37">
        <f>C100*0.15+685000</f>
        <v>685000</v>
      </c>
    </row>
    <row r="106" spans="1:11">
      <c r="A106" s="35"/>
      <c r="B106" s="18"/>
      <c r="C106" s="18"/>
      <c r="D106" s="17">
        <f>IFERROR(VLOOKUP(F103,H99:I113,2,FALSE),VLOOKUP(F103,J99:K113,2,FALSE))</f>
        <v>600000</v>
      </c>
      <c r="E106" s="17">
        <f>ROUNDDOWN(MAX(C100-D106,0),0)</f>
        <v>0</v>
      </c>
      <c r="F106" s="18"/>
      <c r="G106" s="18"/>
      <c r="H106" s="18">
        <v>132</v>
      </c>
      <c r="I106" s="17">
        <f>C100*0.15+585000</f>
        <v>585000</v>
      </c>
      <c r="J106" s="18">
        <v>232</v>
      </c>
      <c r="K106" s="37">
        <f>C100*0.15+585000</f>
        <v>585000</v>
      </c>
    </row>
    <row r="107" spans="1:11">
      <c r="A107" s="35"/>
      <c r="B107" s="18"/>
      <c r="C107" s="18"/>
      <c r="D107" s="18"/>
      <c r="E107" s="18"/>
      <c r="F107" s="18"/>
      <c r="G107" s="18"/>
      <c r="H107" s="18">
        <v>133</v>
      </c>
      <c r="I107" s="17">
        <f>C100*0.15+485000</f>
        <v>485000</v>
      </c>
      <c r="J107" s="18">
        <v>233</v>
      </c>
      <c r="K107" s="37">
        <f>C100*0.15+485000</f>
        <v>485000</v>
      </c>
    </row>
    <row r="108" spans="1:11">
      <c r="A108" s="35"/>
      <c r="B108" s="18"/>
      <c r="C108" s="18"/>
      <c r="D108" s="18"/>
      <c r="E108" s="18"/>
      <c r="F108" s="18"/>
      <c r="G108" s="18"/>
      <c r="H108" s="18">
        <v>141</v>
      </c>
      <c r="I108" s="17">
        <f>C100*0.05+1455000</f>
        <v>1455000</v>
      </c>
      <c r="J108" s="18">
        <v>241</v>
      </c>
      <c r="K108" s="37">
        <f>C100*0.05+1455000</f>
        <v>1455000</v>
      </c>
    </row>
    <row r="109" spans="1:11">
      <c r="A109" s="35"/>
      <c r="B109" s="18"/>
      <c r="C109" s="18"/>
      <c r="D109" s="18"/>
      <c r="E109" s="18"/>
      <c r="F109" s="18"/>
      <c r="G109" s="18"/>
      <c r="H109" s="18">
        <v>142</v>
      </c>
      <c r="I109" s="17">
        <f>C100*0.05+1355000</f>
        <v>1355000</v>
      </c>
      <c r="J109" s="18">
        <v>242</v>
      </c>
      <c r="K109" s="37">
        <f>C100*0.05+1355000</f>
        <v>1355000</v>
      </c>
    </row>
    <row r="110" spans="1:11">
      <c r="A110" s="35"/>
      <c r="B110" s="18"/>
      <c r="C110" s="18"/>
      <c r="D110" s="18"/>
      <c r="E110" s="18"/>
      <c r="F110" s="18"/>
      <c r="G110" s="18"/>
      <c r="H110" s="18">
        <v>143</v>
      </c>
      <c r="I110" s="17">
        <f>C100*0.05+1255000</f>
        <v>1255000</v>
      </c>
      <c r="J110" s="18">
        <v>243</v>
      </c>
      <c r="K110" s="37">
        <f>C100*0.05+1255000</f>
        <v>1255000</v>
      </c>
    </row>
    <row r="111" spans="1:11">
      <c r="A111" s="35"/>
      <c r="B111" s="18"/>
      <c r="C111" s="18"/>
      <c r="D111" s="18"/>
      <c r="E111" s="18"/>
      <c r="F111" s="18"/>
      <c r="G111" s="18"/>
      <c r="H111" s="18">
        <v>151</v>
      </c>
      <c r="I111" s="17">
        <v>1955000</v>
      </c>
      <c r="J111" s="18">
        <v>251</v>
      </c>
      <c r="K111" s="37">
        <v>1955000</v>
      </c>
    </row>
    <row r="112" spans="1:11">
      <c r="A112" s="35"/>
      <c r="B112" s="18"/>
      <c r="C112" s="18"/>
      <c r="D112" s="18"/>
      <c r="E112" s="18"/>
      <c r="F112" s="18"/>
      <c r="G112" s="18"/>
      <c r="H112" s="18">
        <v>152</v>
      </c>
      <c r="I112" s="17">
        <v>1855000</v>
      </c>
      <c r="J112" s="18">
        <v>252</v>
      </c>
      <c r="K112" s="37">
        <v>1855000</v>
      </c>
    </row>
    <row r="113" spans="1:11" ht="14.25" thickBot="1">
      <c r="A113" s="38"/>
      <c r="B113" s="39"/>
      <c r="C113" s="39"/>
      <c r="D113" s="39"/>
      <c r="E113" s="39"/>
      <c r="F113" s="39"/>
      <c r="G113" s="39"/>
      <c r="H113" s="39">
        <v>153</v>
      </c>
      <c r="I113" s="40">
        <v>1755000</v>
      </c>
      <c r="J113" s="39">
        <v>253</v>
      </c>
      <c r="K113" s="41">
        <v>1755000</v>
      </c>
    </row>
    <row r="114" spans="1:11">
      <c r="A114" s="32"/>
      <c r="B114" s="33"/>
      <c r="C114" s="33"/>
      <c r="D114" s="33"/>
      <c r="E114" s="33"/>
      <c r="F114" s="33"/>
      <c r="G114" s="33"/>
      <c r="H114" s="33" t="s">
        <v>84</v>
      </c>
      <c r="I114" s="33" t="s">
        <v>83</v>
      </c>
      <c r="J114" s="33"/>
      <c r="K114" s="34"/>
    </row>
    <row r="115" spans="1:11">
      <c r="A115" s="35" t="s">
        <v>88</v>
      </c>
      <c r="B115" s="18" t="s">
        <v>81</v>
      </c>
      <c r="C115" s="18" t="s">
        <v>35</v>
      </c>
      <c r="D115" s="18" t="s">
        <v>82</v>
      </c>
      <c r="E115" s="18"/>
      <c r="F115" s="18"/>
      <c r="G115" s="18"/>
      <c r="H115" s="18">
        <v>111</v>
      </c>
      <c r="I115" s="17">
        <v>600000</v>
      </c>
      <c r="J115" s="18">
        <v>211</v>
      </c>
      <c r="K115" s="37">
        <v>1100000</v>
      </c>
    </row>
    <row r="116" spans="1:11">
      <c r="A116" s="35"/>
      <c r="B116" s="18">
        <f>計算シート!G40</f>
        <v>0</v>
      </c>
      <c r="C116" s="36">
        <f>計算シート!O40</f>
        <v>0</v>
      </c>
      <c r="D116" s="36">
        <f>計算シート!AH42+計算シート!AN42</f>
        <v>0</v>
      </c>
      <c r="E116" s="36"/>
      <c r="F116" s="18"/>
      <c r="G116" s="18"/>
      <c r="H116" s="18">
        <v>112</v>
      </c>
      <c r="I116" s="17">
        <v>500000</v>
      </c>
      <c r="J116" s="18">
        <v>212</v>
      </c>
      <c r="K116" s="37">
        <v>1000000</v>
      </c>
    </row>
    <row r="117" spans="1:11">
      <c r="A117" s="35"/>
      <c r="B117" s="18"/>
      <c r="C117" s="18"/>
      <c r="D117" s="18"/>
      <c r="E117" s="18"/>
      <c r="F117" s="18"/>
      <c r="G117" s="18"/>
      <c r="H117" s="18">
        <v>113</v>
      </c>
      <c r="I117" s="17">
        <v>400000</v>
      </c>
      <c r="J117" s="18">
        <v>213</v>
      </c>
      <c r="K117" s="37">
        <v>900000</v>
      </c>
    </row>
    <row r="118" spans="1:11">
      <c r="A118" s="35"/>
      <c r="B118" s="18" t="s">
        <v>87</v>
      </c>
      <c r="C118" s="18" t="s">
        <v>79</v>
      </c>
      <c r="D118" s="18" t="s">
        <v>80</v>
      </c>
      <c r="E118" s="18"/>
      <c r="F118" s="18" t="s">
        <v>84</v>
      </c>
      <c r="G118" s="18"/>
      <c r="H118" s="18">
        <v>121</v>
      </c>
      <c r="I118" s="17">
        <f>C116*0.25+275000</f>
        <v>275000</v>
      </c>
      <c r="J118" s="18">
        <v>221</v>
      </c>
      <c r="K118" s="37">
        <f>C116*0.25+275000</f>
        <v>275000</v>
      </c>
    </row>
    <row r="119" spans="1:11">
      <c r="A119" s="35"/>
      <c r="B119" s="18">
        <f>IF(計算シート!G40&lt;65,1,2)</f>
        <v>1</v>
      </c>
      <c r="C119" s="18">
        <f>IF(B119=1,IF(C116&lt;=1300000,1,IF(C116&lt;=4100000,2,IF(C116&lt;=7700000,3,IF(C116&lt;=10000000,4,5)))),IF(C116&lt;=3300000,1,IF(C116&lt;=4100000,2,IF(C116&lt;=7700000,3,IF(C116&lt;=10000000,4,5)))))</f>
        <v>1</v>
      </c>
      <c r="D119" s="18">
        <f>IF(D116&lt;=10000000,1,IF(D116&lt;=20000000,2,3))</f>
        <v>1</v>
      </c>
      <c r="E119" s="18"/>
      <c r="F119" s="18">
        <f>B119*100+C119*10+D119</f>
        <v>111</v>
      </c>
      <c r="G119" s="18"/>
      <c r="H119" s="18">
        <v>122</v>
      </c>
      <c r="I119" s="17">
        <f>C116*0.25+175000</f>
        <v>175000</v>
      </c>
      <c r="J119" s="18">
        <v>222</v>
      </c>
      <c r="K119" s="37">
        <f>C116*0.25+175000</f>
        <v>175000</v>
      </c>
    </row>
    <row r="120" spans="1:11">
      <c r="A120" s="35"/>
      <c r="B120" s="18"/>
      <c r="C120" s="18"/>
      <c r="D120" s="18"/>
      <c r="E120" s="18"/>
      <c r="F120" s="18"/>
      <c r="G120" s="18"/>
      <c r="H120" s="18">
        <v>123</v>
      </c>
      <c r="I120" s="17">
        <f>C116*0.25+75000</f>
        <v>75000</v>
      </c>
      <c r="J120" s="18">
        <v>223</v>
      </c>
      <c r="K120" s="37">
        <f>C116*0.25+75000</f>
        <v>75000</v>
      </c>
    </row>
    <row r="121" spans="1:11">
      <c r="A121" s="35"/>
      <c r="B121" s="18"/>
      <c r="C121" s="18"/>
      <c r="D121" s="18" t="s">
        <v>85</v>
      </c>
      <c r="E121" s="18" t="s">
        <v>86</v>
      </c>
      <c r="F121" s="18"/>
      <c r="G121" s="18"/>
      <c r="H121" s="18">
        <v>131</v>
      </c>
      <c r="I121" s="17">
        <f>C116*0.15+685000</f>
        <v>685000</v>
      </c>
      <c r="J121" s="18">
        <v>231</v>
      </c>
      <c r="K121" s="37">
        <f>C116*0.15+685000</f>
        <v>685000</v>
      </c>
    </row>
    <row r="122" spans="1:11">
      <c r="A122" s="35"/>
      <c r="B122" s="18"/>
      <c r="C122" s="18"/>
      <c r="D122" s="17">
        <f>IFERROR(VLOOKUP(F119,H115:I129,2,FALSE),VLOOKUP(F119,J115:K129,2,FALSE))</f>
        <v>600000</v>
      </c>
      <c r="E122" s="17">
        <f>ROUNDDOWN(MAX(C116-D122,0),0)</f>
        <v>0</v>
      </c>
      <c r="F122" s="18"/>
      <c r="G122" s="18"/>
      <c r="H122" s="18">
        <v>132</v>
      </c>
      <c r="I122" s="17">
        <f>C116*0.15+585000</f>
        <v>585000</v>
      </c>
      <c r="J122" s="18">
        <v>232</v>
      </c>
      <c r="K122" s="37">
        <f>C116*0.15+585000</f>
        <v>585000</v>
      </c>
    </row>
    <row r="123" spans="1:11">
      <c r="A123" s="35"/>
      <c r="B123" s="18"/>
      <c r="C123" s="18"/>
      <c r="D123" s="18"/>
      <c r="E123" s="18"/>
      <c r="F123" s="18"/>
      <c r="G123" s="18"/>
      <c r="H123" s="18">
        <v>133</v>
      </c>
      <c r="I123" s="17">
        <f>C116*0.15+485000</f>
        <v>485000</v>
      </c>
      <c r="J123" s="18">
        <v>233</v>
      </c>
      <c r="K123" s="37">
        <f>C116*0.15+485000</f>
        <v>485000</v>
      </c>
    </row>
    <row r="124" spans="1:11">
      <c r="A124" s="35"/>
      <c r="B124" s="18"/>
      <c r="C124" s="18"/>
      <c r="D124" s="18"/>
      <c r="E124" s="18"/>
      <c r="F124" s="18"/>
      <c r="G124" s="18"/>
      <c r="H124" s="18">
        <v>141</v>
      </c>
      <c r="I124" s="17">
        <f>C116*0.05+1455000</f>
        <v>1455000</v>
      </c>
      <c r="J124" s="18">
        <v>241</v>
      </c>
      <c r="K124" s="37">
        <f>C116*0.05+1455000</f>
        <v>1455000</v>
      </c>
    </row>
    <row r="125" spans="1:11">
      <c r="A125" s="35"/>
      <c r="B125" s="18"/>
      <c r="C125" s="18"/>
      <c r="D125" s="18"/>
      <c r="E125" s="18"/>
      <c r="F125" s="18"/>
      <c r="G125" s="18"/>
      <c r="H125" s="18">
        <v>142</v>
      </c>
      <c r="I125" s="17">
        <f>C116*0.05+1355000</f>
        <v>1355000</v>
      </c>
      <c r="J125" s="18">
        <v>242</v>
      </c>
      <c r="K125" s="37">
        <f>C116*0.05+1355000</f>
        <v>1355000</v>
      </c>
    </row>
    <row r="126" spans="1:11">
      <c r="A126" s="35"/>
      <c r="B126" s="18"/>
      <c r="C126" s="18"/>
      <c r="D126" s="18"/>
      <c r="E126" s="18"/>
      <c r="F126" s="18"/>
      <c r="G126" s="18"/>
      <c r="H126" s="18">
        <v>143</v>
      </c>
      <c r="I126" s="17">
        <f>C116*0.05+1255000</f>
        <v>1255000</v>
      </c>
      <c r="J126" s="18">
        <v>243</v>
      </c>
      <c r="K126" s="37">
        <f>C116*0.05+1255000</f>
        <v>1255000</v>
      </c>
    </row>
    <row r="127" spans="1:11">
      <c r="A127" s="35"/>
      <c r="B127" s="18"/>
      <c r="C127" s="18"/>
      <c r="D127" s="18"/>
      <c r="E127" s="18"/>
      <c r="F127" s="18"/>
      <c r="G127" s="18"/>
      <c r="H127" s="18">
        <v>151</v>
      </c>
      <c r="I127" s="17">
        <v>1955000</v>
      </c>
      <c r="J127" s="18">
        <v>251</v>
      </c>
      <c r="K127" s="37">
        <v>1955000</v>
      </c>
    </row>
    <row r="128" spans="1:11">
      <c r="A128" s="35"/>
      <c r="B128" s="18"/>
      <c r="C128" s="18"/>
      <c r="D128" s="18"/>
      <c r="E128" s="18"/>
      <c r="F128" s="18"/>
      <c r="G128" s="18"/>
      <c r="H128" s="18">
        <v>152</v>
      </c>
      <c r="I128" s="17">
        <v>1855000</v>
      </c>
      <c r="J128" s="18">
        <v>252</v>
      </c>
      <c r="K128" s="37">
        <v>1855000</v>
      </c>
    </row>
    <row r="129" spans="1:11" ht="14.25" thickBot="1">
      <c r="A129" s="38"/>
      <c r="B129" s="39"/>
      <c r="C129" s="39"/>
      <c r="D129" s="39"/>
      <c r="E129" s="39"/>
      <c r="F129" s="39"/>
      <c r="G129" s="39"/>
      <c r="H129" s="39">
        <v>153</v>
      </c>
      <c r="I129" s="40">
        <v>1755000</v>
      </c>
      <c r="J129" s="39">
        <v>253</v>
      </c>
      <c r="K129" s="41">
        <v>1755000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計算シート</vt:lpstr>
      <vt:lpstr>新税率</vt:lpstr>
      <vt:lpstr>年金所得計算表</vt:lpstr>
      <vt:lpstr>計算シート!Print_Area</vt:lpstr>
    </vt:vector>
  </TitlesOfParts>
  <Company>伊勢崎市役所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nanzawa</dc:creator>
  <cp:lastModifiedBy>Administrator</cp:lastModifiedBy>
  <cp:lastPrinted>2022-04-01T07:42:52Z</cp:lastPrinted>
  <dcterms:created xsi:type="dcterms:W3CDTF">2004-04-14T23:44:04Z</dcterms:created>
  <dcterms:modified xsi:type="dcterms:W3CDTF">2023-04-14T06:40:17Z</dcterms:modified>
</cp:coreProperties>
</file>